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240" yWindow="120" windowWidth="24795" windowHeight="11760"/>
  </bookViews>
  <sheets>
    <sheet name="MAF Calc" sheetId="2" r:id="rId1"/>
    <sheet name="MAF Chart 2" sheetId="5" r:id="rId2"/>
    <sheet name="Standard MAF Tables" sheetId="6" r:id="rId3"/>
  </sheets>
  <calcPr calcId="145621"/>
</workbook>
</file>

<file path=xl/calcChain.xml><?xml version="1.0" encoding="utf-8"?>
<calcChain xmlns="http://schemas.openxmlformats.org/spreadsheetml/2006/main">
  <c r="D106" i="2" l="1"/>
  <c r="D97" i="2"/>
  <c r="D88" i="2"/>
  <c r="D79" i="2"/>
  <c r="D70" i="2"/>
  <c r="D61" i="2"/>
  <c r="D52" i="2"/>
  <c r="D43" i="2"/>
  <c r="D34" i="2"/>
  <c r="D25" i="2"/>
  <c r="E114" i="2" l="1"/>
  <c r="M37" i="2" s="1"/>
  <c r="E113" i="2"/>
  <c r="E112" i="2"/>
  <c r="E111" i="2"/>
  <c r="E110" i="2"/>
  <c r="E109" i="2"/>
  <c r="E108" i="2"/>
  <c r="E107" i="2"/>
  <c r="E105" i="2"/>
  <c r="E106" i="2" s="1"/>
  <c r="E104" i="2"/>
  <c r="E103" i="2"/>
  <c r="E102" i="2"/>
  <c r="E101" i="2"/>
  <c r="E100" i="2"/>
  <c r="E99" i="2"/>
  <c r="E98" i="2"/>
  <c r="E96" i="2"/>
  <c r="E97" i="2" s="1"/>
  <c r="M36" i="2" s="1"/>
  <c r="E95" i="2"/>
  <c r="E94" i="2"/>
  <c r="E93" i="2"/>
  <c r="E92" i="2"/>
  <c r="E91" i="2"/>
  <c r="E90" i="2"/>
  <c r="E89" i="2"/>
  <c r="E87" i="2"/>
  <c r="E88" i="2" s="1"/>
  <c r="M35" i="2" s="1"/>
  <c r="E86" i="2"/>
  <c r="E85" i="2"/>
  <c r="E84" i="2"/>
  <c r="E83" i="2"/>
  <c r="E82" i="2"/>
  <c r="E81" i="2"/>
  <c r="E80" i="2"/>
  <c r="I25" i="2" l="1"/>
  <c r="K38" i="2" l="1"/>
  <c r="K35" i="2" l="1"/>
  <c r="K37" i="2"/>
  <c r="K36" i="2"/>
  <c r="C72" i="2"/>
  <c r="V37" i="2" l="1"/>
  <c r="M51" i="2"/>
  <c r="V35" i="2"/>
  <c r="M52" i="2"/>
  <c r="V36" i="2"/>
  <c r="N37" i="2"/>
  <c r="X62" i="2" s="1"/>
  <c r="N36" i="2"/>
  <c r="R35" i="2"/>
  <c r="U35" i="2"/>
  <c r="Q35" i="2"/>
  <c r="T35" i="2"/>
  <c r="P35" i="2"/>
  <c r="S35" i="2"/>
  <c r="O35" i="2"/>
  <c r="N35" i="2"/>
  <c r="R36" i="2"/>
  <c r="U36" i="2"/>
  <c r="Q36" i="2"/>
  <c r="T36" i="2"/>
  <c r="P36" i="2"/>
  <c r="S36" i="2"/>
  <c r="O36" i="2"/>
  <c r="R37" i="2"/>
  <c r="U37" i="2"/>
  <c r="Q37" i="2"/>
  <c r="T37" i="2"/>
  <c r="P37" i="2"/>
  <c r="S37" i="2"/>
  <c r="O37" i="2"/>
  <c r="K53" i="2"/>
  <c r="K52" i="2"/>
  <c r="K51" i="2"/>
  <c r="M53" i="2"/>
  <c r="L52" i="2"/>
  <c r="C114" i="2"/>
  <c r="C113" i="2"/>
  <c r="C112" i="2"/>
  <c r="C111" i="2"/>
  <c r="C110" i="2"/>
  <c r="C109" i="2"/>
  <c r="C108" i="2"/>
  <c r="C107" i="2"/>
  <c r="C106" i="2"/>
  <c r="C105" i="2"/>
  <c r="C97" i="2"/>
  <c r="C100" i="2"/>
  <c r="C104" i="2"/>
  <c r="C103" i="2"/>
  <c r="C99" i="2"/>
  <c r="C98" i="2" l="1"/>
  <c r="C102" i="2"/>
  <c r="C101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U59" i="2"/>
  <c r="U60" i="2"/>
  <c r="L51" i="2" l="1"/>
  <c r="L53" i="2"/>
  <c r="N53" i="2"/>
  <c r="V66" i="2"/>
  <c r="G7" i="2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D16" i="2"/>
  <c r="C78" i="2"/>
  <c r="E78" i="2" s="1"/>
  <c r="C77" i="2"/>
  <c r="E77" i="2" s="1"/>
  <c r="C76" i="2"/>
  <c r="E76" i="2" s="1"/>
  <c r="C75" i="2"/>
  <c r="E75" i="2" s="1"/>
  <c r="C74" i="2"/>
  <c r="E74" i="2" s="1"/>
  <c r="C73" i="2"/>
  <c r="E73" i="2" s="1"/>
  <c r="E72" i="2"/>
  <c r="C71" i="2"/>
  <c r="E71" i="2" s="1"/>
  <c r="C70" i="2"/>
  <c r="C69" i="2"/>
  <c r="E69" i="2" s="1"/>
  <c r="C68" i="2"/>
  <c r="E68" i="2" s="1"/>
  <c r="C67" i="2"/>
  <c r="E67" i="2" s="1"/>
  <c r="C66" i="2"/>
  <c r="E66" i="2" s="1"/>
  <c r="C65" i="2"/>
  <c r="E65" i="2" s="1"/>
  <c r="C64" i="2"/>
  <c r="E64" i="2" s="1"/>
  <c r="C63" i="2"/>
  <c r="E63" i="2" s="1"/>
  <c r="C62" i="2"/>
  <c r="E62" i="2" s="1"/>
  <c r="C61" i="2"/>
  <c r="C60" i="2"/>
  <c r="E60" i="2" s="1"/>
  <c r="C59" i="2"/>
  <c r="E59" i="2" s="1"/>
  <c r="C58" i="2"/>
  <c r="E58" i="2" s="1"/>
  <c r="C57" i="2"/>
  <c r="E57" i="2" s="1"/>
  <c r="C56" i="2"/>
  <c r="E56" i="2" s="1"/>
  <c r="C55" i="2"/>
  <c r="E55" i="2" s="1"/>
  <c r="C54" i="2"/>
  <c r="E54" i="2" s="1"/>
  <c r="C53" i="2"/>
  <c r="E53" i="2" s="1"/>
  <c r="C52" i="2"/>
  <c r="C51" i="2"/>
  <c r="E51" i="2" s="1"/>
  <c r="C50" i="2"/>
  <c r="E50" i="2" s="1"/>
  <c r="C49" i="2"/>
  <c r="E49" i="2" s="1"/>
  <c r="C48" i="2"/>
  <c r="E48" i="2" s="1"/>
  <c r="C47" i="2"/>
  <c r="E47" i="2" s="1"/>
  <c r="C46" i="2"/>
  <c r="E46" i="2" s="1"/>
  <c r="C45" i="2"/>
  <c r="E45" i="2" s="1"/>
  <c r="C44" i="2"/>
  <c r="E44" i="2" s="1"/>
  <c r="C43" i="2"/>
  <c r="C42" i="2"/>
  <c r="E42" i="2" s="1"/>
  <c r="C41" i="2"/>
  <c r="E41" i="2" s="1"/>
  <c r="C40" i="2"/>
  <c r="E40" i="2" s="1"/>
  <c r="C39" i="2"/>
  <c r="E39" i="2" s="1"/>
  <c r="C38" i="2"/>
  <c r="E38" i="2" s="1"/>
  <c r="C37" i="2"/>
  <c r="E37" i="2" s="1"/>
  <c r="C36" i="2"/>
  <c r="E36" i="2" s="1"/>
  <c r="C35" i="2"/>
  <c r="E35" i="2" s="1"/>
  <c r="C34" i="2"/>
  <c r="C31" i="2"/>
  <c r="E31" i="2" s="1"/>
  <c r="C30" i="2"/>
  <c r="E30" i="2" s="1"/>
  <c r="C29" i="2"/>
  <c r="E29" i="2" s="1"/>
  <c r="C33" i="2"/>
  <c r="E33" i="2" s="1"/>
  <c r="E34" i="2" s="1"/>
  <c r="C32" i="2"/>
  <c r="E32" i="2" s="1"/>
  <c r="C28" i="2"/>
  <c r="E28" i="2" s="1"/>
  <c r="C27" i="2"/>
  <c r="E27" i="2" s="1"/>
  <c r="C26" i="2"/>
  <c r="E26" i="2" s="1"/>
  <c r="C25" i="2"/>
  <c r="C24" i="2"/>
  <c r="E24" i="2" s="1"/>
  <c r="E25" i="2" s="1"/>
  <c r="C23" i="2"/>
  <c r="E23" i="2" s="1"/>
  <c r="C22" i="2"/>
  <c r="E22" i="2" s="1"/>
  <c r="C21" i="2"/>
  <c r="E21" i="2" s="1"/>
  <c r="C20" i="2"/>
  <c r="E20" i="2" s="1"/>
  <c r="C19" i="2"/>
  <c r="E19" i="2" s="1"/>
  <c r="C18" i="2"/>
  <c r="E18" i="2" s="1"/>
  <c r="C17" i="2"/>
  <c r="E17" i="2" s="1"/>
  <c r="C16" i="2"/>
  <c r="C15" i="2"/>
  <c r="E15" i="2" s="1"/>
  <c r="E16" i="2" s="1"/>
  <c r="C14" i="2"/>
  <c r="E14" i="2" s="1"/>
  <c r="C13" i="2"/>
  <c r="E13" i="2" s="1"/>
  <c r="C12" i="2"/>
  <c r="E12" i="2" s="1"/>
  <c r="C11" i="2"/>
  <c r="E11" i="2" s="1"/>
  <c r="C10" i="2"/>
  <c r="E10" i="2" s="1"/>
  <c r="C9" i="2"/>
  <c r="E9" i="2" s="1"/>
  <c r="C8" i="2"/>
  <c r="E8" i="2" s="1"/>
  <c r="C7" i="2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E70" i="2" l="1"/>
  <c r="K29" i="2"/>
  <c r="E43" i="2"/>
  <c r="M30" i="2" s="1"/>
  <c r="M29" i="2"/>
  <c r="E79" i="2"/>
  <c r="M33" i="2"/>
  <c r="M49" i="2" s="1"/>
  <c r="E61" i="2"/>
  <c r="M32" i="2" s="1"/>
  <c r="E52" i="2"/>
  <c r="M31" i="2" s="1"/>
  <c r="K28" i="2"/>
  <c r="M28" i="2"/>
  <c r="M27" i="2"/>
  <c r="K27" i="2"/>
  <c r="L43" i="2" s="1"/>
  <c r="F106" i="2"/>
  <c r="P53" i="2"/>
  <c r="F108" i="2" s="1"/>
  <c r="X64" i="2"/>
  <c r="U53" i="2"/>
  <c r="F113" i="2" s="1"/>
  <c r="X69" i="2"/>
  <c r="T53" i="2"/>
  <c r="F112" i="2" s="1"/>
  <c r="X68" i="2"/>
  <c r="R53" i="2"/>
  <c r="F110" i="2" s="1"/>
  <c r="X66" i="2"/>
  <c r="Q53" i="2"/>
  <c r="F109" i="2" s="1"/>
  <c r="X65" i="2"/>
  <c r="V53" i="2"/>
  <c r="F114" i="2" s="1"/>
  <c r="X70" i="2"/>
  <c r="S53" i="2"/>
  <c r="F111" i="2" s="1"/>
  <c r="X67" i="2"/>
  <c r="O53" i="2"/>
  <c r="F107" i="2" s="1"/>
  <c r="X63" i="2"/>
  <c r="W62" i="2"/>
  <c r="V64" i="2"/>
  <c r="V70" i="2"/>
  <c r="V69" i="2"/>
  <c r="V63" i="2"/>
  <c r="V65" i="2"/>
  <c r="E7" i="2"/>
  <c r="V62" i="2"/>
  <c r="V68" i="2"/>
  <c r="V67" i="2"/>
  <c r="Q29" i="2" l="1"/>
  <c r="S29" i="2"/>
  <c r="O29" i="2"/>
  <c r="T29" i="2"/>
  <c r="L45" i="2"/>
  <c r="U29" i="2"/>
  <c r="V29" i="2"/>
  <c r="N28" i="2"/>
  <c r="N29" i="2"/>
  <c r="P29" i="2"/>
  <c r="K30" i="2"/>
  <c r="L46" i="2" s="1"/>
  <c r="K31" i="2"/>
  <c r="N31" i="2" s="1"/>
  <c r="K32" i="2"/>
  <c r="K48" i="2" s="1"/>
  <c r="R29" i="2"/>
  <c r="K34" i="2"/>
  <c r="M34" i="2"/>
  <c r="M50" i="2" s="1"/>
  <c r="K33" i="2"/>
  <c r="N33" i="2" s="1"/>
  <c r="T62" i="2" s="1"/>
  <c r="V28" i="2"/>
  <c r="R28" i="2"/>
  <c r="P28" i="2"/>
  <c r="S28" i="2"/>
  <c r="Q28" i="2"/>
  <c r="O28" i="2"/>
  <c r="T28" i="2"/>
  <c r="U28" i="2"/>
  <c r="O69" i="2" s="1"/>
  <c r="N27" i="2"/>
  <c r="N62" i="2" s="1"/>
  <c r="R27" i="2"/>
  <c r="T27" i="2"/>
  <c r="U27" i="2"/>
  <c r="Q27" i="2"/>
  <c r="P27" i="2"/>
  <c r="S27" i="2"/>
  <c r="V27" i="2"/>
  <c r="O27" i="2"/>
  <c r="K26" i="2"/>
  <c r="M26" i="2"/>
  <c r="M42" i="2" s="1"/>
  <c r="N52" i="2"/>
  <c r="F97" i="2" s="1"/>
  <c r="V52" i="2"/>
  <c r="F105" i="2" s="1"/>
  <c r="W70" i="2"/>
  <c r="U52" i="2"/>
  <c r="F104" i="2" s="1"/>
  <c r="W69" i="2"/>
  <c r="Q52" i="2"/>
  <c r="F100" i="2" s="1"/>
  <c r="W65" i="2"/>
  <c r="O52" i="2"/>
  <c r="F98" i="2" s="1"/>
  <c r="W63" i="2"/>
  <c r="R52" i="2"/>
  <c r="F101" i="2" s="1"/>
  <c r="W66" i="2"/>
  <c r="S52" i="2"/>
  <c r="F102" i="2" s="1"/>
  <c r="W67" i="2"/>
  <c r="P52" i="2"/>
  <c r="F99" i="2" s="1"/>
  <c r="W64" i="2"/>
  <c r="T52" i="2"/>
  <c r="F103" i="2" s="1"/>
  <c r="W68" i="2"/>
  <c r="V59" i="2"/>
  <c r="V60" i="2"/>
  <c r="M43" i="2"/>
  <c r="N61" i="2"/>
  <c r="M47" i="2"/>
  <c r="R61" i="2"/>
  <c r="K43" i="2"/>
  <c r="N60" i="2"/>
  <c r="N59" i="2"/>
  <c r="K45" i="2"/>
  <c r="P59" i="2"/>
  <c r="P60" i="2"/>
  <c r="K44" i="2"/>
  <c r="O60" i="2"/>
  <c r="O59" i="2"/>
  <c r="M45" i="2"/>
  <c r="P61" i="2"/>
  <c r="M48" i="2"/>
  <c r="S61" i="2"/>
  <c r="M44" i="2"/>
  <c r="O61" i="2"/>
  <c r="T59" i="2"/>
  <c r="M46" i="2"/>
  <c r="Q61" i="2"/>
  <c r="T61" i="2"/>
  <c r="L44" i="2"/>
  <c r="S59" i="2" l="1"/>
  <c r="Q60" i="2"/>
  <c r="R60" i="2"/>
  <c r="R59" i="2"/>
  <c r="K47" i="2"/>
  <c r="T60" i="2"/>
  <c r="T32" i="2"/>
  <c r="T48" i="2" s="1"/>
  <c r="U32" i="2"/>
  <c r="U48" i="2" s="1"/>
  <c r="Q32" i="2"/>
  <c r="S65" i="2" s="1"/>
  <c r="V32" i="2"/>
  <c r="V48" i="2" s="1"/>
  <c r="O32" i="2"/>
  <c r="S63" i="2" s="1"/>
  <c r="R32" i="2"/>
  <c r="R48" i="2" s="1"/>
  <c r="S32" i="2"/>
  <c r="S67" i="2" s="1"/>
  <c r="P32" i="2"/>
  <c r="S64" i="2" s="1"/>
  <c r="O30" i="2"/>
  <c r="O46" i="2" s="1"/>
  <c r="T30" i="2"/>
  <c r="Q68" i="2" s="1"/>
  <c r="V30" i="2"/>
  <c r="Q70" i="2" s="1"/>
  <c r="P30" i="2"/>
  <c r="P46" i="2" s="1"/>
  <c r="S30" i="2"/>
  <c r="Q67" i="2" s="1"/>
  <c r="R30" i="2"/>
  <c r="Q66" i="2" s="1"/>
  <c r="Q30" i="2"/>
  <c r="Q65" i="2" s="1"/>
  <c r="U30" i="2"/>
  <c r="U46" i="2" s="1"/>
  <c r="K46" i="2"/>
  <c r="S60" i="2"/>
  <c r="U34" i="2"/>
  <c r="S34" i="2"/>
  <c r="K50" i="2"/>
  <c r="V34" i="2"/>
  <c r="U70" i="2" s="1"/>
  <c r="Q34" i="2"/>
  <c r="O34" i="2"/>
  <c r="T34" i="2"/>
  <c r="R34" i="2"/>
  <c r="P34" i="2"/>
  <c r="R33" i="2"/>
  <c r="R49" i="2" s="1"/>
  <c r="O33" i="2"/>
  <c r="T63" i="2" s="1"/>
  <c r="T33" i="2"/>
  <c r="T68" i="2" s="1"/>
  <c r="Q33" i="2"/>
  <c r="T65" i="2" s="1"/>
  <c r="S33" i="2"/>
  <c r="T67" i="2" s="1"/>
  <c r="P33" i="2"/>
  <c r="W61" i="2" s="1"/>
  <c r="U33" i="2"/>
  <c r="U49" i="2" s="1"/>
  <c r="V33" i="2"/>
  <c r="T70" i="2" s="1"/>
  <c r="L49" i="2"/>
  <c r="P31" i="2"/>
  <c r="R64" i="2" s="1"/>
  <c r="V31" i="2"/>
  <c r="V47" i="2" s="1"/>
  <c r="R31" i="2"/>
  <c r="R47" i="2" s="1"/>
  <c r="T31" i="2"/>
  <c r="T47" i="2" s="1"/>
  <c r="S31" i="2"/>
  <c r="R67" i="2" s="1"/>
  <c r="Q31" i="2"/>
  <c r="R65" i="2" s="1"/>
  <c r="L47" i="2"/>
  <c r="O31" i="2"/>
  <c r="O47" i="2" s="1"/>
  <c r="U31" i="2"/>
  <c r="U47" i="2" s="1"/>
  <c r="L48" i="2"/>
  <c r="Q59" i="2"/>
  <c r="K49" i="2"/>
  <c r="N34" i="2"/>
  <c r="N32" i="2"/>
  <c r="N48" i="2" s="1"/>
  <c r="N30" i="2"/>
  <c r="Q62" i="2" s="1"/>
  <c r="M61" i="2"/>
  <c r="N26" i="2"/>
  <c r="N42" i="2" s="1"/>
  <c r="K42" i="2"/>
  <c r="M59" i="2"/>
  <c r="T26" i="2"/>
  <c r="M68" i="2" s="1"/>
  <c r="R26" i="2"/>
  <c r="M66" i="2" s="1"/>
  <c r="P26" i="2"/>
  <c r="M64" i="2" s="1"/>
  <c r="U26" i="2"/>
  <c r="U42" i="2" s="1"/>
  <c r="S26" i="2"/>
  <c r="M67" i="2" s="1"/>
  <c r="Q26" i="2"/>
  <c r="Q42" i="2" s="1"/>
  <c r="O26" i="2"/>
  <c r="O42" i="2" s="1"/>
  <c r="L42" i="2"/>
  <c r="M60" i="2"/>
  <c r="V26" i="2"/>
  <c r="V42" i="2" s="1"/>
  <c r="U61" i="2"/>
  <c r="W60" i="2"/>
  <c r="W59" i="2"/>
  <c r="U44" i="2"/>
  <c r="F32" i="2" s="1"/>
  <c r="L50" i="2"/>
  <c r="U43" i="2"/>
  <c r="F23" i="2" s="1"/>
  <c r="N69" i="2"/>
  <c r="R45" i="2"/>
  <c r="F38" i="2" s="1"/>
  <c r="P66" i="2"/>
  <c r="V45" i="2"/>
  <c r="F42" i="2" s="1"/>
  <c r="P70" i="2"/>
  <c r="S43" i="2"/>
  <c r="F21" i="2" s="1"/>
  <c r="N67" i="2"/>
  <c r="S44" i="2"/>
  <c r="F30" i="2" s="1"/>
  <c r="O67" i="2"/>
  <c r="Q45" i="2"/>
  <c r="F37" i="2" s="1"/>
  <c r="P65" i="2"/>
  <c r="V44" i="2"/>
  <c r="F33" i="2" s="1"/>
  <c r="O70" i="2"/>
  <c r="Q44" i="2"/>
  <c r="F28" i="2" s="1"/>
  <c r="O65" i="2"/>
  <c r="R44" i="2"/>
  <c r="F29" i="2" s="1"/>
  <c r="O66" i="2"/>
  <c r="V43" i="2"/>
  <c r="F24" i="2" s="1"/>
  <c r="N70" i="2"/>
  <c r="T43" i="2"/>
  <c r="F22" i="2" s="1"/>
  <c r="N68" i="2"/>
  <c r="T45" i="2"/>
  <c r="F40" i="2" s="1"/>
  <c r="P68" i="2"/>
  <c r="U45" i="2"/>
  <c r="F41" i="2" s="1"/>
  <c r="P69" i="2"/>
  <c r="R43" i="2"/>
  <c r="F20" i="2" s="1"/>
  <c r="N66" i="2"/>
  <c r="Q43" i="2"/>
  <c r="F19" i="2" s="1"/>
  <c r="N65" i="2"/>
  <c r="S45" i="2"/>
  <c r="F39" i="2" s="1"/>
  <c r="P67" i="2"/>
  <c r="T44" i="2"/>
  <c r="F31" i="2" s="1"/>
  <c r="O68" i="2"/>
  <c r="O45" i="2"/>
  <c r="F35" i="2" s="1"/>
  <c r="P63" i="2"/>
  <c r="P43" i="2"/>
  <c r="F18" i="2" s="1"/>
  <c r="N64" i="2"/>
  <c r="P45" i="2"/>
  <c r="F36" i="2" s="1"/>
  <c r="P64" i="2"/>
  <c r="P44" i="2"/>
  <c r="F27" i="2" s="1"/>
  <c r="O64" i="2"/>
  <c r="O43" i="2"/>
  <c r="F17" i="2" s="1"/>
  <c r="N63" i="2"/>
  <c r="O44" i="2"/>
  <c r="F26" i="2" s="1"/>
  <c r="O63" i="2"/>
  <c r="N49" i="2"/>
  <c r="N45" i="2"/>
  <c r="F34" i="2" s="1"/>
  <c r="P62" i="2"/>
  <c r="N44" i="2"/>
  <c r="F25" i="2" s="1"/>
  <c r="O62" i="2"/>
  <c r="N43" i="2"/>
  <c r="F16" i="2" s="1"/>
  <c r="N47" i="2"/>
  <c r="R62" i="2"/>
  <c r="F61" i="2" l="1"/>
  <c r="R63" i="2"/>
  <c r="S49" i="2"/>
  <c r="F75" i="2" s="1"/>
  <c r="R42" i="2"/>
  <c r="F11" i="2" s="1"/>
  <c r="M69" i="2"/>
  <c r="S48" i="2"/>
  <c r="F66" i="2" s="1"/>
  <c r="M65" i="2"/>
  <c r="T46" i="2"/>
  <c r="F49" i="2" s="1"/>
  <c r="Q63" i="2"/>
  <c r="V61" i="2"/>
  <c r="F70" i="2"/>
  <c r="F77" i="2"/>
  <c r="Q48" i="2"/>
  <c r="F64" i="2" s="1"/>
  <c r="P48" i="2"/>
  <c r="F63" i="2" s="1"/>
  <c r="M63" i="2"/>
  <c r="T42" i="2"/>
  <c r="F13" i="2" s="1"/>
  <c r="S69" i="2"/>
  <c r="S62" i="2"/>
  <c r="R46" i="2"/>
  <c r="F47" i="2" s="1"/>
  <c r="F74" i="2"/>
  <c r="F50" i="2"/>
  <c r="F45" i="2"/>
  <c r="F68" i="2"/>
  <c r="F65" i="2"/>
  <c r="T49" i="2"/>
  <c r="F76" i="2" s="1"/>
  <c r="T69" i="2"/>
  <c r="S68" i="2"/>
  <c r="M62" i="2"/>
  <c r="Q64" i="2"/>
  <c r="O48" i="2"/>
  <c r="F62" i="2" s="1"/>
  <c r="Q69" i="2"/>
  <c r="S70" i="2"/>
  <c r="T66" i="2"/>
  <c r="X59" i="2"/>
  <c r="S46" i="2"/>
  <c r="F48" i="2" s="1"/>
  <c r="S42" i="2"/>
  <c r="F12" i="2" s="1"/>
  <c r="O49" i="2"/>
  <c r="F71" i="2" s="1"/>
  <c r="T64" i="2"/>
  <c r="R70" i="2"/>
  <c r="P47" i="2"/>
  <c r="F54" i="2" s="1"/>
  <c r="Q47" i="2"/>
  <c r="F55" i="2" s="1"/>
  <c r="F52" i="2"/>
  <c r="F53" i="2"/>
  <c r="S47" i="2"/>
  <c r="F57" i="2" s="1"/>
  <c r="R68" i="2"/>
  <c r="R69" i="2"/>
  <c r="F60" i="2"/>
  <c r="F56" i="2"/>
  <c r="V46" i="2"/>
  <c r="F51" i="2" s="1"/>
  <c r="V49" i="2"/>
  <c r="F78" i="2" s="1"/>
  <c r="Q46" i="2"/>
  <c r="F46" i="2" s="1"/>
  <c r="S66" i="2"/>
  <c r="F59" i="2"/>
  <c r="F44" i="2"/>
  <c r="F67" i="2"/>
  <c r="N46" i="2"/>
  <c r="F43" i="2" s="1"/>
  <c r="F69" i="2"/>
  <c r="R66" i="2"/>
  <c r="Q49" i="2"/>
  <c r="F73" i="2" s="1"/>
  <c r="F58" i="2"/>
  <c r="X60" i="2"/>
  <c r="P49" i="2"/>
  <c r="F72" i="2" s="1"/>
  <c r="X61" i="2"/>
  <c r="F15" i="2"/>
  <c r="F7" i="2"/>
  <c r="F8" i="2"/>
  <c r="F10" i="2"/>
  <c r="M70" i="2"/>
  <c r="F14" i="2"/>
  <c r="P42" i="2"/>
  <c r="F9" i="2" s="1"/>
  <c r="V50" i="2"/>
  <c r="F87" i="2" s="1"/>
  <c r="U50" i="2"/>
  <c r="F86" i="2" s="1"/>
  <c r="U69" i="2"/>
  <c r="Q50" i="2"/>
  <c r="F82" i="2" s="1"/>
  <c r="U65" i="2"/>
  <c r="O50" i="2"/>
  <c r="F80" i="2" s="1"/>
  <c r="U63" i="2"/>
  <c r="P50" i="2"/>
  <c r="F81" i="2" s="1"/>
  <c r="U64" i="2"/>
  <c r="S50" i="2"/>
  <c r="F84" i="2" s="1"/>
  <c r="U67" i="2"/>
  <c r="N50" i="2"/>
  <c r="F79" i="2" s="1"/>
  <c r="U62" i="2"/>
  <c r="T50" i="2"/>
  <c r="F85" i="2" s="1"/>
  <c r="U68" i="2"/>
  <c r="R50" i="2"/>
  <c r="F83" i="2" s="1"/>
  <c r="U66" i="2"/>
  <c r="R51" i="2"/>
  <c r="T51" i="2"/>
  <c r="S51" i="2"/>
  <c r="Q51" i="2"/>
  <c r="F91" i="2" s="1"/>
  <c r="O51" i="2"/>
  <c r="N51" i="2"/>
  <c r="F88" i="2" s="1"/>
  <c r="P51" i="2"/>
  <c r="U51" i="2"/>
  <c r="F95" i="2" s="1"/>
  <c r="F89" i="2" l="1"/>
  <c r="F90" i="2"/>
  <c r="F92" i="2"/>
  <c r="F93" i="2"/>
  <c r="F94" i="2"/>
  <c r="V51" i="2"/>
  <c r="F96" i="2" s="1"/>
</calcChain>
</file>

<file path=xl/comments1.xml><?xml version="1.0" encoding="utf-8"?>
<comments xmlns="http://schemas.openxmlformats.org/spreadsheetml/2006/main">
  <authors>
    <author>yoda69</author>
  </authors>
  <commentList>
    <comment ref="H6" authorId="0">
      <text>
        <r>
          <rPr>
            <b/>
            <sz val="9"/>
            <color indexed="81"/>
            <rFont val="Tahoma"/>
            <family val="2"/>
          </rPr>
          <t>Used to ensure start point of next table is greater than endpoint of Table before, Based of Actual New Table Values Automatically calculated by a Macro</t>
        </r>
      </text>
    </comment>
    <comment ref="X23" authorId="0">
      <text>
        <r>
          <rPr>
            <b/>
            <sz val="9"/>
            <color indexed="81"/>
            <rFont val="Tahoma"/>
            <family val="2"/>
          </rPr>
          <t>Used to ensure that last value of table is &lt;=255</t>
        </r>
      </text>
    </comment>
  </commentList>
</comments>
</file>

<file path=xl/sharedStrings.xml><?xml version="1.0" encoding="utf-8"?>
<sst xmlns="http://schemas.openxmlformats.org/spreadsheetml/2006/main" count="522" uniqueCount="201">
  <si>
    <t>MAF SCALARS - HEX</t>
  </si>
  <si>
    <t>MAF TABLE DATA - HEX</t>
  </si>
  <si>
    <t>02</t>
  </si>
  <si>
    <t>FF</t>
  </si>
  <si>
    <t>06</t>
  </si>
  <si>
    <t>00</t>
  </si>
  <si>
    <t>12</t>
  </si>
  <si>
    <t>27</t>
  </si>
  <si>
    <t>3E</t>
  </si>
  <si>
    <t>58</t>
  </si>
  <si>
    <t>74</t>
  </si>
  <si>
    <t>92</t>
  </si>
  <si>
    <t>B3</t>
  </si>
  <si>
    <t>D5</t>
  </si>
  <si>
    <t>08</t>
  </si>
  <si>
    <t>0A</t>
  </si>
  <si>
    <t>16</t>
  </si>
  <si>
    <t>2D</t>
  </si>
  <si>
    <t>46</t>
  </si>
  <si>
    <t>62</t>
  </si>
  <si>
    <t>7F</t>
  </si>
  <si>
    <t>A0</t>
  </si>
  <si>
    <t>C2</t>
  </si>
  <si>
    <t>E7</t>
  </si>
  <si>
    <t>11</t>
  </si>
  <si>
    <t>0F</t>
  </si>
  <si>
    <t>1A</t>
  </si>
  <si>
    <t>35</t>
  </si>
  <si>
    <t>53</t>
  </si>
  <si>
    <t>72</t>
  </si>
  <si>
    <t>B4</t>
  </si>
  <si>
    <t>D8</t>
  </si>
  <si>
    <t>FD</t>
  </si>
  <si>
    <t>1F</t>
  </si>
  <si>
    <t>E9</t>
  </si>
  <si>
    <t>36</t>
  </si>
  <si>
    <t>D7</t>
  </si>
  <si>
    <t>FC</t>
  </si>
  <si>
    <t>95</t>
  </si>
  <si>
    <t>20</t>
  </si>
  <si>
    <t>37</t>
  </si>
  <si>
    <t>55</t>
  </si>
  <si>
    <t>94</t>
  </si>
  <si>
    <t>B6</t>
  </si>
  <si>
    <t>2A</t>
  </si>
  <si>
    <t>1C</t>
  </si>
  <si>
    <t>39</t>
  </si>
  <si>
    <t>57</t>
  </si>
  <si>
    <t>76</t>
  </si>
  <si>
    <t>96</t>
  </si>
  <si>
    <t>B8</t>
  </si>
  <si>
    <t>DA</t>
  </si>
  <si>
    <t>7E</t>
  </si>
  <si>
    <t>3A</t>
  </si>
  <si>
    <t>78</t>
  </si>
  <si>
    <t>98</t>
  </si>
  <si>
    <t>4E</t>
  </si>
  <si>
    <t>43</t>
  </si>
  <si>
    <t>FE</t>
  </si>
  <si>
    <t>MAF SCALARS</t>
  </si>
  <si>
    <t>MAF TABLE DATA</t>
  </si>
  <si>
    <t>DEC1</t>
  </si>
  <si>
    <t>DEC2</t>
  </si>
  <si>
    <t>Decimal</t>
  </si>
  <si>
    <t>NOTE:  Only changes values in RED</t>
  </si>
  <si>
    <t>MAF Table # 1</t>
  </si>
  <si>
    <t>MAF Table # 2</t>
  </si>
  <si>
    <t>MAF Table # 3</t>
  </si>
  <si>
    <t>MAF Table # 4</t>
  </si>
  <si>
    <t>MAF Table # 5</t>
  </si>
  <si>
    <t>MAF Table # 6</t>
  </si>
  <si>
    <t>MAF Table # 7</t>
  </si>
  <si>
    <t>MAF Table # 8</t>
  </si>
  <si>
    <t>Starting Table</t>
  </si>
  <si>
    <t>Starting Table (grams/sec)</t>
  </si>
  <si>
    <t>Percentage Change Required</t>
  </si>
  <si>
    <t>Requested New Table (grams/sec)</t>
  </si>
  <si>
    <t>Actual New Table (grams/sec)</t>
  </si>
  <si>
    <t>Minimum MAF Frequency (kHz) - Starting Table</t>
  </si>
  <si>
    <t>Minimum MAF Frequency (kHz) - New Table</t>
  </si>
  <si>
    <t>Starting Table Frequency (kHz)</t>
  </si>
  <si>
    <t>New Table Frequency (kHz)</t>
  </si>
  <si>
    <t>Table #1</t>
  </si>
  <si>
    <t>Table #2</t>
  </si>
  <si>
    <t>Table #3</t>
  </si>
  <si>
    <t>Table #4</t>
  </si>
  <si>
    <t>Table #5</t>
  </si>
  <si>
    <t>Table #6</t>
  </si>
  <si>
    <t>Table #7</t>
  </si>
  <si>
    <t>Table #8</t>
  </si>
  <si>
    <t>V6 MAF Table - VS/VT/VX/VY (including S/C)</t>
  </si>
  <si>
    <t>05</t>
  </si>
  <si>
    <t>13</t>
  </si>
  <si>
    <t>44</t>
  </si>
  <si>
    <t>61</t>
  </si>
  <si>
    <t>81</t>
  </si>
  <si>
    <t>A4</t>
  </si>
  <si>
    <t>C9</t>
  </si>
  <si>
    <t>F0</t>
  </si>
  <si>
    <t>07</t>
  </si>
  <si>
    <t>09</t>
  </si>
  <si>
    <t>17</t>
  </si>
  <si>
    <t>30</t>
  </si>
  <si>
    <t>4B</t>
  </si>
  <si>
    <t>68</t>
  </si>
  <si>
    <t>87</t>
  </si>
  <si>
    <t>A9</t>
  </si>
  <si>
    <t>CD</t>
  </si>
  <si>
    <t>F4</t>
  </si>
  <si>
    <t>19</t>
  </si>
  <si>
    <t>34</t>
  </si>
  <si>
    <t>51</t>
  </si>
  <si>
    <t>6F</t>
  </si>
  <si>
    <t>8E</t>
  </si>
  <si>
    <t>AF</t>
  </si>
  <si>
    <t>D1</t>
  </si>
  <si>
    <t>F6</t>
  </si>
  <si>
    <t>1E</t>
  </si>
  <si>
    <t>1B</t>
  </si>
  <si>
    <t>38</t>
  </si>
  <si>
    <t>71</t>
  </si>
  <si>
    <t>91</t>
  </si>
  <si>
    <t>B2</t>
  </si>
  <si>
    <t>D2</t>
  </si>
  <si>
    <t>FA</t>
  </si>
  <si>
    <t>B0</t>
  </si>
  <si>
    <t>B7</t>
  </si>
  <si>
    <t>D9</t>
  </si>
  <si>
    <t>59</t>
  </si>
  <si>
    <t>B9</t>
  </si>
  <si>
    <t>DB</t>
  </si>
  <si>
    <t>AB</t>
  </si>
  <si>
    <t>V8 (HSV 5.7 Litre) MAF Table - VT Series 1</t>
  </si>
  <si>
    <t>V8 (Holden 5.0 Litre) MAF Table - VS3/VT1</t>
  </si>
  <si>
    <t>03</t>
  </si>
  <si>
    <t>2C</t>
  </si>
  <si>
    <t>5E</t>
  </si>
  <si>
    <t>7A</t>
  </si>
  <si>
    <t>9A</t>
  </si>
  <si>
    <t>BB</t>
  </si>
  <si>
    <t>DE</t>
  </si>
  <si>
    <t>0B</t>
  </si>
  <si>
    <t>01</t>
  </si>
  <si>
    <t>10</t>
  </si>
  <si>
    <t>4F</t>
  </si>
  <si>
    <t>6D</t>
  </si>
  <si>
    <t>FB</t>
  </si>
  <si>
    <t>25</t>
  </si>
  <si>
    <t>3D</t>
  </si>
  <si>
    <t>73</t>
  </si>
  <si>
    <t>B5</t>
  </si>
  <si>
    <t>21</t>
  </si>
  <si>
    <t>5A</t>
  </si>
  <si>
    <t>7B</t>
  </si>
  <si>
    <t>9B</t>
  </si>
  <si>
    <t>DF</t>
  </si>
  <si>
    <t>3F</t>
  </si>
  <si>
    <t>8F</t>
  </si>
  <si>
    <t>04</t>
  </si>
  <si>
    <t>1D</t>
  </si>
  <si>
    <t>50</t>
  </si>
  <si>
    <t>8D</t>
  </si>
  <si>
    <t>ED</t>
  </si>
  <si>
    <t>24</t>
  </si>
  <si>
    <t>5C</t>
  </si>
  <si>
    <t>79</t>
  </si>
  <si>
    <t>9E</t>
  </si>
  <si>
    <t>23</t>
  </si>
  <si>
    <t>40</t>
  </si>
  <si>
    <t>DC</t>
  </si>
  <si>
    <t>42</t>
  </si>
  <si>
    <t>A1</t>
  </si>
  <si>
    <t>BD</t>
  </si>
  <si>
    <t xml:space="preserve">Minimum MAF Frequency (kHz) = </t>
  </si>
  <si>
    <r>
      <t xml:space="preserve">For Info on this sheet refer to </t>
    </r>
    <r>
      <rPr>
        <b/>
        <sz val="12"/>
        <color rgb="FFFF0000"/>
        <rFont val="Arial"/>
        <family val="2"/>
      </rPr>
      <t>www.delcohacking.net</t>
    </r>
  </si>
  <si>
    <t>Holden VS-VY DELCO MAF Table Calculator</t>
  </si>
  <si>
    <t>MAF Table # 10</t>
  </si>
  <si>
    <t>MAF Table # 9</t>
  </si>
  <si>
    <t>Table #9</t>
  </si>
  <si>
    <t>Table #10</t>
  </si>
  <si>
    <t>BC</t>
  </si>
  <si>
    <t>E0</t>
  </si>
  <si>
    <t>MAF Table # 11</t>
  </si>
  <si>
    <t>Table #11</t>
  </si>
  <si>
    <t>NEW TABLES</t>
  </si>
  <si>
    <t>DECIMAL</t>
  </si>
  <si>
    <t>Table #12</t>
  </si>
  <si>
    <t>CE</t>
  </si>
  <si>
    <t>6A</t>
  </si>
  <si>
    <t>MAF Table # 12</t>
  </si>
  <si>
    <t>AA</t>
  </si>
  <si>
    <t>0E</t>
  </si>
  <si>
    <t>5F</t>
  </si>
  <si>
    <t>7C</t>
  </si>
  <si>
    <t>C5</t>
  </si>
  <si>
    <t>F5</t>
  </si>
  <si>
    <t>HEX</t>
  </si>
  <si>
    <t xml:space="preserve"> </t>
  </si>
  <si>
    <t>Table Starting Point Correction</t>
  </si>
  <si>
    <t>MAF Table Data Correction Factor</t>
  </si>
  <si>
    <t>Created by: yoda69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</si>
</sst>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"/>
  </numFmts>
  <fonts count="10" x14ac:knownFonts="1"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3" tint="0.59996337778862885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5" xfId="0" applyNumberFormat="1" applyFont="1" applyFill="1" applyBorder="1" applyAlignment="1" applyProtection="1">
      <alignment horizont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7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2" fontId="3" fillId="0" borderId="8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49" fontId="3" fillId="0" borderId="5" xfId="0" applyNumberFormat="1" applyFont="1" applyFill="1" applyBorder="1" applyAlignment="1" applyProtection="1">
      <alignment horizontal="center"/>
      <protection locked="0"/>
    </xf>
    <xf numFmtId="49" fontId="3" fillId="0" borderId="6" xfId="0" applyNumberFormat="1" applyFont="1" applyFill="1" applyBorder="1" applyAlignment="1" applyProtection="1">
      <alignment horizontal="center"/>
      <protection locked="0"/>
    </xf>
    <xf numFmtId="49" fontId="3" fillId="0" borderId="7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164" fontId="4" fillId="0" borderId="12" xfId="0" applyNumberFormat="1" applyFont="1" applyBorder="1" applyAlignment="1" applyProtection="1">
      <alignment horizontal="center"/>
      <protection locked="0"/>
    </xf>
    <xf numFmtId="164" fontId="4" fillId="0" borderId="13" xfId="0" applyNumberFormat="1" applyFont="1" applyBorder="1" applyAlignment="1" applyProtection="1">
      <alignment horizontal="center"/>
      <protection locked="0"/>
    </xf>
    <xf numFmtId="164" fontId="4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4" xfId="0" applyFont="1" applyBorder="1" applyProtection="1">
      <protection hidden="1"/>
    </xf>
    <xf numFmtId="164" fontId="4" fillId="0" borderId="5" xfId="0" applyNumberFormat="1" applyFont="1" applyBorder="1" applyAlignment="1" applyProtection="1">
      <alignment horizontal="center"/>
      <protection hidden="1"/>
    </xf>
    <xf numFmtId="164" fontId="6" fillId="0" borderId="5" xfId="0" applyNumberFormat="1" applyFont="1" applyBorder="1" applyAlignment="1" applyProtection="1">
      <alignment horizontal="center"/>
      <protection hidden="1"/>
    </xf>
    <xf numFmtId="164" fontId="4" fillId="0" borderId="12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7" xfId="0" applyFont="1" applyBorder="1" applyProtection="1">
      <protection hidden="1"/>
    </xf>
    <xf numFmtId="164" fontId="6" fillId="0" borderId="0" xfId="0" applyNumberFormat="1" applyFont="1" applyBorder="1" applyAlignment="1" applyProtection="1">
      <alignment horizontal="center"/>
      <protection hidden="1"/>
    </xf>
    <xf numFmtId="164" fontId="4" fillId="0" borderId="13" xfId="0" applyNumberFormat="1" applyFont="1" applyBorder="1" applyAlignment="1" applyProtection="1">
      <alignment horizontal="center"/>
      <protection hidden="1"/>
    </xf>
    <xf numFmtId="164" fontId="4" fillId="0" borderId="7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Protection="1">
      <protection hidden="1"/>
    </xf>
    <xf numFmtId="0" fontId="4" fillId="0" borderId="2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4" fillId="0" borderId="9" xfId="0" applyFont="1" applyBorder="1" applyProtection="1">
      <protection hidden="1"/>
    </xf>
    <xf numFmtId="164" fontId="4" fillId="0" borderId="10" xfId="0" applyNumberFormat="1" applyFont="1" applyBorder="1" applyAlignment="1" applyProtection="1">
      <alignment horizontal="center"/>
      <protection hidden="1"/>
    </xf>
    <xf numFmtId="164" fontId="6" fillId="0" borderId="10" xfId="0" applyNumberFormat="1" applyFont="1" applyBorder="1" applyAlignment="1" applyProtection="1">
      <alignment horizontal="center"/>
      <protection hidden="1"/>
    </xf>
    <xf numFmtId="164" fontId="4" fillId="0" borderId="14" xfId="0" applyNumberFormat="1" applyFont="1" applyBorder="1" applyAlignment="1" applyProtection="1">
      <alignment horizontal="center"/>
      <protection hidden="1"/>
    </xf>
    <xf numFmtId="164" fontId="6" fillId="0" borderId="8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49" fontId="4" fillId="0" borderId="4" xfId="0" applyNumberFormat="1" applyFont="1" applyFill="1" applyBorder="1" applyAlignment="1" applyProtection="1">
      <alignment horizontal="center"/>
      <protection hidden="1"/>
    </xf>
    <xf numFmtId="49" fontId="4" fillId="0" borderId="5" xfId="0" applyNumberFormat="1" applyFont="1" applyFill="1" applyBorder="1" applyAlignment="1" applyProtection="1">
      <alignment horizontal="center"/>
      <protection hidden="1"/>
    </xf>
    <xf numFmtId="49" fontId="4" fillId="0" borderId="6" xfId="0" applyNumberFormat="1" applyFont="1" applyFill="1" applyBorder="1" applyAlignment="1" applyProtection="1">
      <alignment horizontal="center"/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1" fontId="2" fillId="2" borderId="4" xfId="0" applyNumberFormat="1" applyFont="1" applyFill="1" applyBorder="1" applyAlignment="1" applyProtection="1">
      <alignment horizontal="center"/>
      <protection hidden="1"/>
    </xf>
    <xf numFmtId="1" fontId="2" fillId="2" borderId="5" xfId="0" applyNumberFormat="1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1" fontId="2" fillId="2" borderId="7" xfId="0" applyNumberFormat="1" applyFont="1" applyFill="1" applyBorder="1" applyAlignment="1" applyProtection="1">
      <alignment horizontal="center"/>
      <protection hidden="1"/>
    </xf>
    <xf numFmtId="1" fontId="2" fillId="2" borderId="0" xfId="0" applyNumberFormat="1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164" fontId="6" fillId="0" borderId="11" xfId="0" applyNumberFormat="1" applyFont="1" applyBorder="1" applyAlignment="1" applyProtection="1">
      <alignment horizontal="center"/>
      <protection hidden="1"/>
    </xf>
    <xf numFmtId="1" fontId="2" fillId="2" borderId="9" xfId="0" applyNumberFormat="1" applyFont="1" applyFill="1" applyBorder="1" applyAlignment="1" applyProtection="1">
      <alignment horizontal="center"/>
      <protection hidden="1"/>
    </xf>
    <xf numFmtId="1" fontId="2" fillId="2" borderId="10" xfId="0" applyNumberFormat="1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/>
      <protection hidden="1"/>
    </xf>
    <xf numFmtId="2" fontId="5" fillId="2" borderId="4" xfId="0" applyNumberFormat="1" applyFont="1" applyFill="1" applyBorder="1" applyAlignment="1" applyProtection="1">
      <alignment horizontal="center"/>
      <protection hidden="1"/>
    </xf>
    <xf numFmtId="2" fontId="5" fillId="2" borderId="5" xfId="0" applyNumberFormat="1" applyFont="1" applyFill="1" applyBorder="1" applyAlignment="1" applyProtection="1">
      <alignment horizontal="center"/>
      <protection hidden="1"/>
    </xf>
    <xf numFmtId="2" fontId="5" fillId="2" borderId="6" xfId="0" applyNumberFormat="1" applyFont="1" applyFill="1" applyBorder="1" applyAlignment="1" applyProtection="1">
      <alignment horizontal="center"/>
      <protection hidden="1"/>
    </xf>
    <xf numFmtId="2" fontId="5" fillId="2" borderId="7" xfId="0" applyNumberFormat="1" applyFont="1" applyFill="1" applyBorder="1" applyAlignment="1" applyProtection="1">
      <alignment horizontal="center"/>
      <protection hidden="1"/>
    </xf>
    <xf numFmtId="2" fontId="5" fillId="2" borderId="0" xfId="0" applyNumberFormat="1" applyFont="1" applyFill="1" applyBorder="1" applyAlignment="1" applyProtection="1">
      <alignment horizontal="center"/>
      <protection hidden="1"/>
    </xf>
    <xf numFmtId="2" fontId="5" fillId="2" borderId="8" xfId="0" applyNumberFormat="1" applyFont="1" applyFill="1" applyBorder="1" applyAlignment="1" applyProtection="1">
      <alignment horizontal="center"/>
      <protection hidden="1"/>
    </xf>
    <xf numFmtId="2" fontId="5" fillId="2" borderId="10" xfId="0" applyNumberFormat="1" applyFont="1" applyFill="1" applyBorder="1" applyAlignment="1" applyProtection="1">
      <alignment horizontal="center"/>
      <protection hidden="1"/>
    </xf>
    <xf numFmtId="2" fontId="5" fillId="2" borderId="11" xfId="0" applyNumberFormat="1" applyFont="1" applyFill="1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center"/>
      <protection locked="0" hidden="1"/>
    </xf>
    <xf numFmtId="165" fontId="3" fillId="0" borderId="5" xfId="0" applyNumberFormat="1" applyFont="1" applyBorder="1" applyAlignment="1" applyProtection="1">
      <alignment horizontal="center"/>
      <protection locked="0" hidden="1"/>
    </xf>
    <xf numFmtId="165" fontId="3" fillId="0" borderId="0" xfId="0" applyNumberFormat="1" applyFont="1" applyBorder="1" applyAlignment="1" applyProtection="1">
      <alignment horizontal="center"/>
      <protection locked="0" hidden="1"/>
    </xf>
    <xf numFmtId="165" fontId="3" fillId="0" borderId="10" xfId="0" applyNumberFormat="1" applyFont="1" applyBorder="1" applyAlignment="1" applyProtection="1">
      <alignment horizontal="center"/>
      <protection locked="0" hidden="1"/>
    </xf>
    <xf numFmtId="165" fontId="6" fillId="0" borderId="5" xfId="0" applyNumberFormat="1" applyFont="1" applyBorder="1" applyAlignment="1" applyProtection="1">
      <alignment horizontal="center"/>
      <protection locked="0" hidden="1"/>
    </xf>
    <xf numFmtId="164" fontId="6" fillId="0" borderId="6" xfId="0" applyNumberFormat="1" applyFont="1" applyBorder="1" applyAlignment="1" applyProtection="1">
      <alignment horizontal="center"/>
      <protection locked="0" hidden="1"/>
    </xf>
    <xf numFmtId="0" fontId="2" fillId="0" borderId="0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11" xfId="0" applyFont="1" applyBorder="1" applyProtection="1">
      <protection hidden="1"/>
    </xf>
    <xf numFmtId="164" fontId="4" fillId="0" borderId="6" xfId="0" applyNumberFormat="1" applyFont="1" applyBorder="1" applyAlignment="1" applyProtection="1">
      <alignment horizontal="center"/>
      <protection hidden="1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2" fontId="5" fillId="2" borderId="13" xfId="0" applyNumberFormat="1" applyFont="1" applyFill="1" applyBorder="1" applyAlignment="1" applyProtection="1">
      <alignment horizontal="center"/>
      <protection hidden="1"/>
    </xf>
    <xf numFmtId="2" fontId="5" fillId="2" borderId="12" xfId="0" applyNumberFormat="1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Alignment="1" applyProtection="1">
      <alignment horizontal="center"/>
      <protection hidden="1"/>
    </xf>
    <xf numFmtId="164" fontId="4" fillId="0" borderId="8" xfId="0" applyNumberFormat="1" applyFont="1" applyBorder="1" applyAlignment="1" applyProtection="1">
      <alignment horizontal="center"/>
      <protection hidden="1"/>
    </xf>
    <xf numFmtId="164" fontId="4" fillId="0" borderId="11" xfId="0" applyNumberFormat="1" applyFont="1" applyBorder="1" applyAlignment="1" applyProtection="1">
      <alignment horizontal="center"/>
      <protection hidden="1"/>
    </xf>
    <xf numFmtId="1" fontId="2" fillId="2" borderId="8" xfId="0" applyNumberFormat="1" applyFont="1" applyFill="1" applyBorder="1" applyAlignment="1" applyProtection="1">
      <alignment horizontal="center"/>
      <protection hidden="1"/>
    </xf>
    <xf numFmtId="1" fontId="2" fillId="2" borderId="11" xfId="0" applyNumberFormat="1" applyFont="1" applyFill="1" applyBorder="1" applyAlignment="1" applyProtection="1">
      <alignment horizontal="center"/>
      <protection hidden="1"/>
    </xf>
    <xf numFmtId="0" fontId="4" fillId="0" borderId="16" xfId="0" applyFont="1" applyBorder="1" applyProtection="1">
      <protection hidden="1"/>
    </xf>
    <xf numFmtId="164" fontId="4" fillId="0" borderId="3" xfId="0" applyNumberFormat="1" applyFont="1" applyBorder="1" applyAlignment="1" applyProtection="1">
      <alignment horizontal="center"/>
      <protection hidden="1"/>
    </xf>
    <xf numFmtId="164" fontId="4" fillId="0" borderId="16" xfId="0" applyNumberFormat="1" applyFont="1" applyBorder="1" applyAlignment="1" applyProtection="1">
      <alignment horizontal="center"/>
      <protection hidden="1"/>
    </xf>
    <xf numFmtId="2" fontId="2" fillId="2" borderId="13" xfId="0" applyNumberFormat="1" applyFont="1" applyFill="1" applyBorder="1" applyAlignment="1" applyProtection="1">
      <alignment horizontal="center"/>
      <protection hidden="1"/>
    </xf>
    <xf numFmtId="2" fontId="2" fillId="2" borderId="14" xfId="0" applyNumberFormat="1" applyFont="1" applyFill="1" applyBorder="1" applyAlignment="1" applyProtection="1">
      <alignment horizontal="center"/>
      <protection hidden="1"/>
    </xf>
    <xf numFmtId="2" fontId="2" fillId="2" borderId="8" xfId="0" applyNumberFormat="1" applyFont="1" applyFill="1" applyBorder="1" applyAlignment="1" applyProtection="1">
      <alignment horizontal="center"/>
      <protection hidden="1"/>
    </xf>
    <xf numFmtId="2" fontId="2" fillId="2" borderId="11" xfId="0" applyNumberFormat="1" applyFont="1" applyFill="1" applyBorder="1" applyAlignment="1" applyProtection="1">
      <alignment horizontal="center"/>
      <protection hidden="1"/>
    </xf>
    <xf numFmtId="2" fontId="5" fillId="2" borderId="9" xfId="0" applyNumberFormat="1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4" fillId="0" borderId="5" xfId="0" applyFont="1" applyBorder="1" applyProtection="1">
      <protection hidden="1"/>
    </xf>
    <xf numFmtId="164" fontId="4" fillId="0" borderId="9" xfId="0" applyNumberFormat="1" applyFont="1" applyBorder="1" applyAlignment="1" applyProtection="1">
      <alignment horizontal="center"/>
      <protection hidden="1"/>
    </xf>
    <xf numFmtId="1" fontId="3" fillId="2" borderId="0" xfId="0" applyNumberFormat="1" applyFont="1" applyFill="1" applyBorder="1" applyAlignment="1" applyProtection="1">
      <alignment horizontal="center"/>
      <protection hidden="1"/>
    </xf>
    <xf numFmtId="1" fontId="3" fillId="2" borderId="8" xfId="0" applyNumberFormat="1" applyFont="1" applyFill="1" applyBorder="1" applyAlignment="1" applyProtection="1">
      <alignment horizontal="center"/>
      <protection hidden="1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7" xfId="0" applyNumberFormat="1" applyFont="1" applyFill="1" applyBorder="1" applyAlignment="1" applyProtection="1">
      <alignment horizontal="center"/>
      <protection hidden="1"/>
    </xf>
    <xf numFmtId="1" fontId="3" fillId="2" borderId="9" xfId="0" applyNumberFormat="1" applyFont="1" applyFill="1" applyBorder="1" applyAlignment="1" applyProtection="1">
      <alignment horizontal="center"/>
      <protection hidden="1"/>
    </xf>
    <xf numFmtId="1" fontId="3" fillId="2" borderId="10" xfId="0" applyNumberFormat="1" applyFont="1" applyFill="1" applyBorder="1" applyAlignment="1" applyProtection="1">
      <alignment horizontal="center"/>
      <protection hidden="1"/>
    </xf>
    <xf numFmtId="1" fontId="3" fillId="2" borderId="11" xfId="0" applyNumberFormat="1" applyFont="1" applyFill="1" applyBorder="1" applyAlignment="1" applyProtection="1">
      <alignment horizontal="center"/>
      <protection hidden="1"/>
    </xf>
    <xf numFmtId="166" fontId="4" fillId="0" borderId="0" xfId="0" applyNumberFormat="1" applyFont="1" applyBorder="1" applyAlignment="1" applyProtection="1">
      <alignment horizontal="center"/>
      <protection hidden="1"/>
    </xf>
    <xf numFmtId="164" fontId="2" fillId="0" borderId="12" xfId="0" applyNumberFormat="1" applyFont="1" applyBorder="1" applyAlignment="1" applyProtection="1">
      <alignment horizontal="center"/>
      <protection hidden="1"/>
    </xf>
    <xf numFmtId="164" fontId="2" fillId="0" borderId="13" xfId="0" applyNumberFormat="1" applyFont="1" applyBorder="1" applyAlignment="1" applyProtection="1">
      <alignment horizontal="center"/>
      <protection hidden="1"/>
    </xf>
    <xf numFmtId="164" fontId="2" fillId="0" borderId="14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7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'MAF Calc'!$C$6</c:f>
              <c:strCache>
                <c:ptCount val="1"/>
                <c:pt idx="0">
                  <c:v>Starting Table (grams/sec)</c:v>
                </c:pt>
              </c:strCache>
            </c:strRef>
          </c:tx>
          <c:spPr>
            <a:ln w="1270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'MAF Calc'!$B$7:$B$114</c:f>
              <c:numCache>
                <c:formatCode>0.000</c:formatCode>
                <c:ptCount val="108"/>
                <c:pt idx="0">
                  <c:v>1.89</c:v>
                </c:pt>
                <c:pt idx="1">
                  <c:v>2.0179999999999998</c:v>
                </c:pt>
                <c:pt idx="2">
                  <c:v>2.1459999999999999</c:v>
                </c:pt>
                <c:pt idx="3">
                  <c:v>2.274</c:v>
                </c:pt>
                <c:pt idx="4">
                  <c:v>2.4020000000000001</c:v>
                </c:pt>
                <c:pt idx="5">
                  <c:v>2.5300000000000002</c:v>
                </c:pt>
                <c:pt idx="6">
                  <c:v>2.6580000000000004</c:v>
                </c:pt>
                <c:pt idx="7">
                  <c:v>2.7860000000000005</c:v>
                </c:pt>
                <c:pt idx="8">
                  <c:v>2.9140000000000006</c:v>
                </c:pt>
                <c:pt idx="9">
                  <c:v>2.9140000000000006</c:v>
                </c:pt>
                <c:pt idx="10">
                  <c:v>3.0420000000000007</c:v>
                </c:pt>
                <c:pt idx="11">
                  <c:v>3.1700000000000008</c:v>
                </c:pt>
                <c:pt idx="12">
                  <c:v>3.2980000000000009</c:v>
                </c:pt>
                <c:pt idx="13">
                  <c:v>3.426000000000001</c:v>
                </c:pt>
                <c:pt idx="14">
                  <c:v>3.5540000000000012</c:v>
                </c:pt>
                <c:pt idx="15">
                  <c:v>3.6820000000000013</c:v>
                </c:pt>
                <c:pt idx="16">
                  <c:v>3.8100000000000014</c:v>
                </c:pt>
                <c:pt idx="17">
                  <c:v>3.9380000000000015</c:v>
                </c:pt>
                <c:pt idx="18">
                  <c:v>3.9380000000000015</c:v>
                </c:pt>
                <c:pt idx="19">
                  <c:v>4.0660000000000016</c:v>
                </c:pt>
                <c:pt idx="20">
                  <c:v>4.1940000000000017</c:v>
                </c:pt>
                <c:pt idx="21">
                  <c:v>4.3220000000000018</c:v>
                </c:pt>
                <c:pt idx="22">
                  <c:v>4.450000000000002</c:v>
                </c:pt>
                <c:pt idx="23">
                  <c:v>4.5780000000000021</c:v>
                </c:pt>
                <c:pt idx="24">
                  <c:v>4.7060000000000022</c:v>
                </c:pt>
                <c:pt idx="25">
                  <c:v>4.8340000000000023</c:v>
                </c:pt>
                <c:pt idx="26">
                  <c:v>4.9620000000000024</c:v>
                </c:pt>
                <c:pt idx="27">
                  <c:v>4.9620000000000024</c:v>
                </c:pt>
                <c:pt idx="28">
                  <c:v>5.0900000000000025</c:v>
                </c:pt>
                <c:pt idx="29">
                  <c:v>5.2180000000000026</c:v>
                </c:pt>
                <c:pt idx="30">
                  <c:v>5.3460000000000027</c:v>
                </c:pt>
                <c:pt idx="31">
                  <c:v>5.4740000000000029</c:v>
                </c:pt>
                <c:pt idx="32">
                  <c:v>5.602000000000003</c:v>
                </c:pt>
                <c:pt idx="33">
                  <c:v>5.7300000000000031</c:v>
                </c:pt>
                <c:pt idx="34">
                  <c:v>5.8580000000000032</c:v>
                </c:pt>
                <c:pt idx="35">
                  <c:v>5.9860000000000033</c:v>
                </c:pt>
                <c:pt idx="36">
                  <c:v>5.9860000000000033</c:v>
                </c:pt>
                <c:pt idx="37">
                  <c:v>6.1140000000000034</c:v>
                </c:pt>
                <c:pt idx="38">
                  <c:v>6.2420000000000035</c:v>
                </c:pt>
                <c:pt idx="39">
                  <c:v>6.3700000000000037</c:v>
                </c:pt>
                <c:pt idx="40">
                  <c:v>6.4980000000000038</c:v>
                </c:pt>
                <c:pt idx="41">
                  <c:v>6.6260000000000039</c:v>
                </c:pt>
                <c:pt idx="42">
                  <c:v>6.754000000000004</c:v>
                </c:pt>
                <c:pt idx="43">
                  <c:v>6.8820000000000041</c:v>
                </c:pt>
                <c:pt idx="44">
                  <c:v>7.0100000000000042</c:v>
                </c:pt>
                <c:pt idx="45">
                  <c:v>7.0100000000000042</c:v>
                </c:pt>
                <c:pt idx="46">
                  <c:v>7.1380000000000043</c:v>
                </c:pt>
                <c:pt idx="47">
                  <c:v>7.2660000000000045</c:v>
                </c:pt>
                <c:pt idx="48">
                  <c:v>7.3940000000000046</c:v>
                </c:pt>
                <c:pt idx="49">
                  <c:v>7.5220000000000047</c:v>
                </c:pt>
                <c:pt idx="50">
                  <c:v>7.6500000000000048</c:v>
                </c:pt>
                <c:pt idx="51">
                  <c:v>7.7780000000000049</c:v>
                </c:pt>
                <c:pt idx="52">
                  <c:v>7.906000000000005</c:v>
                </c:pt>
                <c:pt idx="53">
                  <c:v>8.0340000000000042</c:v>
                </c:pt>
                <c:pt idx="54">
                  <c:v>8.0340000000000042</c:v>
                </c:pt>
                <c:pt idx="55">
                  <c:v>8.1620000000000044</c:v>
                </c:pt>
                <c:pt idx="56">
                  <c:v>8.2900000000000045</c:v>
                </c:pt>
                <c:pt idx="57">
                  <c:v>8.4180000000000046</c:v>
                </c:pt>
                <c:pt idx="58">
                  <c:v>8.5460000000000047</c:v>
                </c:pt>
                <c:pt idx="59">
                  <c:v>8.6740000000000048</c:v>
                </c:pt>
                <c:pt idx="60">
                  <c:v>8.8020000000000049</c:v>
                </c:pt>
                <c:pt idx="61">
                  <c:v>8.930000000000005</c:v>
                </c:pt>
                <c:pt idx="62">
                  <c:v>9.0580000000000052</c:v>
                </c:pt>
                <c:pt idx="63">
                  <c:v>9.0580000000000052</c:v>
                </c:pt>
                <c:pt idx="64">
                  <c:v>9.1860000000000053</c:v>
                </c:pt>
                <c:pt idx="65">
                  <c:v>9.3140000000000054</c:v>
                </c:pt>
                <c:pt idx="66">
                  <c:v>9.4420000000000055</c:v>
                </c:pt>
                <c:pt idx="67">
                  <c:v>9.5700000000000056</c:v>
                </c:pt>
                <c:pt idx="68">
                  <c:v>9.6980000000000057</c:v>
                </c:pt>
                <c:pt idx="69">
                  <c:v>9.8260000000000058</c:v>
                </c:pt>
                <c:pt idx="70">
                  <c:v>9.954000000000006</c:v>
                </c:pt>
                <c:pt idx="71">
                  <c:v>10.082000000000006</c:v>
                </c:pt>
                <c:pt idx="72">
                  <c:v>10.082000000000006</c:v>
                </c:pt>
                <c:pt idx="73">
                  <c:v>10.210000000000006</c:v>
                </c:pt>
                <c:pt idx="74">
                  <c:v>10.338000000000006</c:v>
                </c:pt>
                <c:pt idx="75">
                  <c:v>10.466000000000006</c:v>
                </c:pt>
                <c:pt idx="76">
                  <c:v>10.594000000000007</c:v>
                </c:pt>
                <c:pt idx="77">
                  <c:v>10.722000000000007</c:v>
                </c:pt>
                <c:pt idx="78">
                  <c:v>10.850000000000007</c:v>
                </c:pt>
                <c:pt idx="79">
                  <c:v>10.978000000000007</c:v>
                </c:pt>
                <c:pt idx="80">
                  <c:v>11.106000000000007</c:v>
                </c:pt>
                <c:pt idx="81">
                  <c:v>11.106000000000007</c:v>
                </c:pt>
                <c:pt idx="82">
                  <c:v>11.234000000000007</c:v>
                </c:pt>
                <c:pt idx="83">
                  <c:v>11.362000000000007</c:v>
                </c:pt>
                <c:pt idx="84">
                  <c:v>11.490000000000007</c:v>
                </c:pt>
                <c:pt idx="85">
                  <c:v>11.618000000000007</c:v>
                </c:pt>
                <c:pt idx="86">
                  <c:v>11.746000000000008</c:v>
                </c:pt>
                <c:pt idx="87">
                  <c:v>11.874000000000008</c:v>
                </c:pt>
                <c:pt idx="88">
                  <c:v>12.002000000000008</c:v>
                </c:pt>
                <c:pt idx="89">
                  <c:v>12.130000000000008</c:v>
                </c:pt>
                <c:pt idx="90">
                  <c:v>12.130000000000008</c:v>
                </c:pt>
                <c:pt idx="91">
                  <c:v>12.258000000000008</c:v>
                </c:pt>
                <c:pt idx="92">
                  <c:v>12.386000000000008</c:v>
                </c:pt>
                <c:pt idx="93">
                  <c:v>12.514000000000008</c:v>
                </c:pt>
                <c:pt idx="94">
                  <c:v>12.642000000000008</c:v>
                </c:pt>
                <c:pt idx="95">
                  <c:v>12.770000000000008</c:v>
                </c:pt>
                <c:pt idx="96">
                  <c:v>12.898000000000009</c:v>
                </c:pt>
                <c:pt idx="97">
                  <c:v>13.026000000000009</c:v>
                </c:pt>
                <c:pt idx="98">
                  <c:v>13.154000000000009</c:v>
                </c:pt>
                <c:pt idx="99">
                  <c:v>13.154000000000009</c:v>
                </c:pt>
                <c:pt idx="100">
                  <c:v>13.282000000000009</c:v>
                </c:pt>
                <c:pt idx="101">
                  <c:v>13.410000000000009</c:v>
                </c:pt>
                <c:pt idx="102">
                  <c:v>13.538000000000009</c:v>
                </c:pt>
                <c:pt idx="103">
                  <c:v>13.666000000000009</c:v>
                </c:pt>
                <c:pt idx="104">
                  <c:v>13.794000000000009</c:v>
                </c:pt>
                <c:pt idx="105">
                  <c:v>13.922000000000009</c:v>
                </c:pt>
                <c:pt idx="106">
                  <c:v>14.05000000000001</c:v>
                </c:pt>
                <c:pt idx="107">
                  <c:v>14.17800000000001</c:v>
                </c:pt>
              </c:numCache>
            </c:numRef>
          </c:xVal>
          <c:yVal>
            <c:numRef>
              <c:f>'MAF Calc'!$C$7:$C$114</c:f>
              <c:numCache>
                <c:formatCode>0.000</c:formatCode>
                <c:ptCount val="108"/>
                <c:pt idx="0">
                  <c:v>2.99609375</c:v>
                </c:pt>
                <c:pt idx="1">
                  <c:v>3.41796875</c:v>
                </c:pt>
                <c:pt idx="2">
                  <c:v>3.91015625</c:v>
                </c:pt>
                <c:pt idx="3">
                  <c:v>4.44921875</c:v>
                </c:pt>
                <c:pt idx="4">
                  <c:v>5.05859375</c:v>
                </c:pt>
                <c:pt idx="5">
                  <c:v>5.71484375</c:v>
                </c:pt>
                <c:pt idx="6">
                  <c:v>6.41796875</c:v>
                </c:pt>
                <c:pt idx="7">
                  <c:v>7.19140625</c:v>
                </c:pt>
                <c:pt idx="8">
                  <c:v>7.98828125</c:v>
                </c:pt>
                <c:pt idx="9">
                  <c:v>8</c:v>
                </c:pt>
                <c:pt idx="10">
                  <c:v>8.859375</c:v>
                </c:pt>
                <c:pt idx="11">
                  <c:v>9.7578125</c:v>
                </c:pt>
                <c:pt idx="12">
                  <c:v>10.734375</c:v>
                </c:pt>
                <c:pt idx="13">
                  <c:v>11.828125</c:v>
                </c:pt>
                <c:pt idx="14">
                  <c:v>12.9609375</c:v>
                </c:pt>
                <c:pt idx="15">
                  <c:v>14.25</c:v>
                </c:pt>
                <c:pt idx="16">
                  <c:v>15.578125</c:v>
                </c:pt>
                <c:pt idx="17">
                  <c:v>17.0234375</c:v>
                </c:pt>
                <c:pt idx="18">
                  <c:v>17.03125</c:v>
                </c:pt>
                <c:pt idx="19">
                  <c:v>18.5546875</c:v>
                </c:pt>
                <c:pt idx="20">
                  <c:v>20.13671875</c:v>
                </c:pt>
                <c:pt idx="21">
                  <c:v>21.89453125</c:v>
                </c:pt>
                <c:pt idx="22">
                  <c:v>23.7109375</c:v>
                </c:pt>
                <c:pt idx="23">
                  <c:v>25.5859375</c:v>
                </c:pt>
                <c:pt idx="24">
                  <c:v>27.578125</c:v>
                </c:pt>
                <c:pt idx="25">
                  <c:v>29.6875</c:v>
                </c:pt>
                <c:pt idx="26">
                  <c:v>31.85546875</c:v>
                </c:pt>
                <c:pt idx="27">
                  <c:v>31.91015625</c:v>
                </c:pt>
                <c:pt idx="28">
                  <c:v>34.14453125</c:v>
                </c:pt>
                <c:pt idx="29">
                  <c:v>36.55078125</c:v>
                </c:pt>
                <c:pt idx="30">
                  <c:v>39.04296875</c:v>
                </c:pt>
                <c:pt idx="31">
                  <c:v>41.70703125</c:v>
                </c:pt>
                <c:pt idx="32">
                  <c:v>44.45703125</c:v>
                </c:pt>
                <c:pt idx="33">
                  <c:v>47.37890625</c:v>
                </c:pt>
                <c:pt idx="34">
                  <c:v>50.38671875</c:v>
                </c:pt>
                <c:pt idx="35">
                  <c:v>53.56640625</c:v>
                </c:pt>
                <c:pt idx="36">
                  <c:v>53.58203125</c:v>
                </c:pt>
                <c:pt idx="37">
                  <c:v>56.83203125</c:v>
                </c:pt>
                <c:pt idx="38">
                  <c:v>60.45703125</c:v>
                </c:pt>
                <c:pt idx="39">
                  <c:v>64.20703125</c:v>
                </c:pt>
                <c:pt idx="40">
                  <c:v>68.08203125</c:v>
                </c:pt>
                <c:pt idx="41">
                  <c:v>72.08203125</c:v>
                </c:pt>
                <c:pt idx="42">
                  <c:v>76.33203125</c:v>
                </c:pt>
                <c:pt idx="43">
                  <c:v>80.58203125</c:v>
                </c:pt>
                <c:pt idx="44">
                  <c:v>85.08203125</c:v>
                </c:pt>
                <c:pt idx="45">
                  <c:v>85.17578125</c:v>
                </c:pt>
                <c:pt idx="46">
                  <c:v>89.76953125</c:v>
                </c:pt>
                <c:pt idx="47">
                  <c:v>94.52734375</c:v>
                </c:pt>
                <c:pt idx="48">
                  <c:v>99.44921875</c:v>
                </c:pt>
                <c:pt idx="49">
                  <c:v>104.53515625</c:v>
                </c:pt>
                <c:pt idx="50">
                  <c:v>109.78515625</c:v>
                </c:pt>
                <c:pt idx="51">
                  <c:v>115.36328125</c:v>
                </c:pt>
                <c:pt idx="52">
                  <c:v>120.94140625</c:v>
                </c:pt>
                <c:pt idx="53">
                  <c:v>126.68359375</c:v>
                </c:pt>
                <c:pt idx="54">
                  <c:v>126.83984375</c:v>
                </c:pt>
                <c:pt idx="55">
                  <c:v>132.63671875</c:v>
                </c:pt>
                <c:pt idx="56">
                  <c:v>138.84765625</c:v>
                </c:pt>
                <c:pt idx="57">
                  <c:v>145.05859375</c:v>
                </c:pt>
                <c:pt idx="58">
                  <c:v>151.68359375</c:v>
                </c:pt>
                <c:pt idx="59">
                  <c:v>158.30859375</c:v>
                </c:pt>
                <c:pt idx="60">
                  <c:v>164.93359375</c:v>
                </c:pt>
                <c:pt idx="61">
                  <c:v>171.97265625</c:v>
                </c:pt>
                <c:pt idx="62">
                  <c:v>179.21875</c:v>
                </c:pt>
                <c:pt idx="63">
                  <c:v>179.3046875</c:v>
                </c:pt>
                <c:pt idx="64">
                  <c:v>186.6328125</c:v>
                </c:pt>
                <c:pt idx="65">
                  <c:v>194.22265625</c:v>
                </c:pt>
                <c:pt idx="66">
                  <c:v>202.07421875</c:v>
                </c:pt>
                <c:pt idx="67">
                  <c:v>210.1875</c:v>
                </c:pt>
                <c:pt idx="68">
                  <c:v>218.5625</c:v>
                </c:pt>
                <c:pt idx="69">
                  <c:v>227.4609375</c:v>
                </c:pt>
                <c:pt idx="70">
                  <c:v>236.359375</c:v>
                </c:pt>
                <c:pt idx="71">
                  <c:v>245.78125</c:v>
                </c:pt>
                <c:pt idx="72">
                  <c:v>246.65625</c:v>
                </c:pt>
                <c:pt idx="73">
                  <c:v>253.9609375</c:v>
                </c:pt>
                <c:pt idx="74">
                  <c:v>263.2578125</c:v>
                </c:pt>
                <c:pt idx="75">
                  <c:v>271.890625</c:v>
                </c:pt>
                <c:pt idx="76">
                  <c:v>281.1875</c:v>
                </c:pt>
                <c:pt idx="77">
                  <c:v>289.8203125</c:v>
                </c:pt>
                <c:pt idx="78">
                  <c:v>299.1171875</c:v>
                </c:pt>
                <c:pt idx="79">
                  <c:v>307.75</c:v>
                </c:pt>
                <c:pt idx="80">
                  <c:v>317.046875</c:v>
                </c:pt>
                <c:pt idx="81">
                  <c:v>317.75390625</c:v>
                </c:pt>
                <c:pt idx="82">
                  <c:v>325.72265625</c:v>
                </c:pt>
                <c:pt idx="83">
                  <c:v>334.6875</c:v>
                </c:pt>
                <c:pt idx="84">
                  <c:v>343.65234375</c:v>
                </c:pt>
                <c:pt idx="85">
                  <c:v>352.6171875</c:v>
                </c:pt>
                <c:pt idx="86">
                  <c:v>361.58203125</c:v>
                </c:pt>
                <c:pt idx="87">
                  <c:v>370.546875</c:v>
                </c:pt>
                <c:pt idx="88">
                  <c:v>379.51171875</c:v>
                </c:pt>
                <c:pt idx="89">
                  <c:v>389.47265625</c:v>
                </c:pt>
                <c:pt idx="90">
                  <c:v>389.47265625</c:v>
                </c:pt>
                <c:pt idx="91">
                  <c:v>398.4375</c:v>
                </c:pt>
                <c:pt idx="92">
                  <c:v>407.40234375</c:v>
                </c:pt>
                <c:pt idx="93">
                  <c:v>416.3671875</c:v>
                </c:pt>
                <c:pt idx="94">
                  <c:v>425.33203125</c:v>
                </c:pt>
                <c:pt idx="95">
                  <c:v>434.296875</c:v>
                </c:pt>
                <c:pt idx="96">
                  <c:v>443.26171875</c:v>
                </c:pt>
                <c:pt idx="97">
                  <c:v>452.2265625</c:v>
                </c:pt>
                <c:pt idx="98">
                  <c:v>461.19140625</c:v>
                </c:pt>
                <c:pt idx="99">
                  <c:v>461.19140625</c:v>
                </c:pt>
                <c:pt idx="100">
                  <c:v>470.15625</c:v>
                </c:pt>
                <c:pt idx="101">
                  <c:v>479.12109375</c:v>
                </c:pt>
                <c:pt idx="102">
                  <c:v>488.0859375</c:v>
                </c:pt>
                <c:pt idx="103">
                  <c:v>492.0703125</c:v>
                </c:pt>
                <c:pt idx="104">
                  <c:v>495.05859375</c:v>
                </c:pt>
                <c:pt idx="105">
                  <c:v>500.0390625</c:v>
                </c:pt>
                <c:pt idx="106">
                  <c:v>506.015625</c:v>
                </c:pt>
                <c:pt idx="107">
                  <c:v>510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'MAF Calc'!$F$6</c:f>
              <c:strCache>
                <c:ptCount val="1"/>
                <c:pt idx="0">
                  <c:v>Actual New Table (grams/sec)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'MAF Calc'!$G$7:$G$114</c:f>
              <c:numCache>
                <c:formatCode>0.000</c:formatCode>
                <c:ptCount val="108"/>
                <c:pt idx="0">
                  <c:v>1.89</c:v>
                </c:pt>
                <c:pt idx="1">
                  <c:v>2.0179999999999998</c:v>
                </c:pt>
                <c:pt idx="2">
                  <c:v>2.1459999999999999</c:v>
                </c:pt>
                <c:pt idx="3">
                  <c:v>2.274</c:v>
                </c:pt>
                <c:pt idx="4">
                  <c:v>2.4020000000000001</c:v>
                </c:pt>
                <c:pt idx="5">
                  <c:v>2.5300000000000002</c:v>
                </c:pt>
                <c:pt idx="6">
                  <c:v>2.6580000000000004</c:v>
                </c:pt>
                <c:pt idx="7">
                  <c:v>2.7860000000000005</c:v>
                </c:pt>
                <c:pt idx="8">
                  <c:v>2.9140000000000006</c:v>
                </c:pt>
                <c:pt idx="9">
                  <c:v>2.9140000000000006</c:v>
                </c:pt>
                <c:pt idx="10">
                  <c:v>3.0420000000000007</c:v>
                </c:pt>
                <c:pt idx="11">
                  <c:v>3.1700000000000008</c:v>
                </c:pt>
                <c:pt idx="12">
                  <c:v>3.2980000000000009</c:v>
                </c:pt>
                <c:pt idx="13">
                  <c:v>3.426000000000001</c:v>
                </c:pt>
                <c:pt idx="14">
                  <c:v>3.5540000000000012</c:v>
                </c:pt>
                <c:pt idx="15">
                  <c:v>3.6820000000000013</c:v>
                </c:pt>
                <c:pt idx="16">
                  <c:v>3.8100000000000014</c:v>
                </c:pt>
                <c:pt idx="17">
                  <c:v>3.9380000000000015</c:v>
                </c:pt>
                <c:pt idx="18">
                  <c:v>3.9380000000000015</c:v>
                </c:pt>
                <c:pt idx="19">
                  <c:v>4.0660000000000016</c:v>
                </c:pt>
                <c:pt idx="20">
                  <c:v>4.1940000000000017</c:v>
                </c:pt>
                <c:pt idx="21">
                  <c:v>4.3220000000000018</c:v>
                </c:pt>
                <c:pt idx="22">
                  <c:v>4.450000000000002</c:v>
                </c:pt>
                <c:pt idx="23">
                  <c:v>4.5780000000000021</c:v>
                </c:pt>
                <c:pt idx="24">
                  <c:v>4.7060000000000022</c:v>
                </c:pt>
                <c:pt idx="25">
                  <c:v>4.8340000000000023</c:v>
                </c:pt>
                <c:pt idx="26">
                  <c:v>4.9620000000000024</c:v>
                </c:pt>
                <c:pt idx="27">
                  <c:v>4.9620000000000024</c:v>
                </c:pt>
                <c:pt idx="28">
                  <c:v>5.0900000000000025</c:v>
                </c:pt>
                <c:pt idx="29">
                  <c:v>5.2180000000000026</c:v>
                </c:pt>
                <c:pt idx="30">
                  <c:v>5.3460000000000027</c:v>
                </c:pt>
                <c:pt idx="31">
                  <c:v>5.4740000000000029</c:v>
                </c:pt>
                <c:pt idx="32">
                  <c:v>5.602000000000003</c:v>
                </c:pt>
                <c:pt idx="33">
                  <c:v>5.7300000000000031</c:v>
                </c:pt>
                <c:pt idx="34">
                  <c:v>5.8580000000000032</c:v>
                </c:pt>
                <c:pt idx="35">
                  <c:v>5.9860000000000033</c:v>
                </c:pt>
                <c:pt idx="36">
                  <c:v>5.9860000000000033</c:v>
                </c:pt>
                <c:pt idx="37">
                  <c:v>6.1140000000000034</c:v>
                </c:pt>
                <c:pt idx="38">
                  <c:v>6.2420000000000035</c:v>
                </c:pt>
                <c:pt idx="39">
                  <c:v>6.3700000000000037</c:v>
                </c:pt>
                <c:pt idx="40">
                  <c:v>6.4980000000000038</c:v>
                </c:pt>
                <c:pt idx="41">
                  <c:v>6.6260000000000039</c:v>
                </c:pt>
                <c:pt idx="42">
                  <c:v>6.754000000000004</c:v>
                </c:pt>
                <c:pt idx="43">
                  <c:v>6.8820000000000041</c:v>
                </c:pt>
                <c:pt idx="44">
                  <c:v>7.0100000000000042</c:v>
                </c:pt>
                <c:pt idx="45">
                  <c:v>7.0100000000000042</c:v>
                </c:pt>
                <c:pt idx="46">
                  <c:v>7.1380000000000043</c:v>
                </c:pt>
                <c:pt idx="47">
                  <c:v>7.2660000000000045</c:v>
                </c:pt>
                <c:pt idx="48">
                  <c:v>7.3940000000000046</c:v>
                </c:pt>
                <c:pt idx="49">
                  <c:v>7.5220000000000047</c:v>
                </c:pt>
                <c:pt idx="50">
                  <c:v>7.6500000000000048</c:v>
                </c:pt>
                <c:pt idx="51">
                  <c:v>7.7780000000000049</c:v>
                </c:pt>
                <c:pt idx="52">
                  <c:v>7.906000000000005</c:v>
                </c:pt>
                <c:pt idx="53">
                  <c:v>8.0340000000000042</c:v>
                </c:pt>
                <c:pt idx="54">
                  <c:v>8.0340000000000042</c:v>
                </c:pt>
                <c:pt idx="55">
                  <c:v>8.1620000000000044</c:v>
                </c:pt>
                <c:pt idx="56">
                  <c:v>8.2900000000000045</c:v>
                </c:pt>
                <c:pt idx="57">
                  <c:v>8.4180000000000046</c:v>
                </c:pt>
                <c:pt idx="58">
                  <c:v>8.5460000000000047</c:v>
                </c:pt>
                <c:pt idx="59">
                  <c:v>8.6740000000000048</c:v>
                </c:pt>
                <c:pt idx="60">
                  <c:v>8.8020000000000049</c:v>
                </c:pt>
                <c:pt idx="61">
                  <c:v>8.930000000000005</c:v>
                </c:pt>
                <c:pt idx="62">
                  <c:v>9.0580000000000052</c:v>
                </c:pt>
                <c:pt idx="63">
                  <c:v>9.0580000000000052</c:v>
                </c:pt>
                <c:pt idx="64">
                  <c:v>9.1860000000000053</c:v>
                </c:pt>
                <c:pt idx="65">
                  <c:v>9.3140000000000054</c:v>
                </c:pt>
                <c:pt idx="66">
                  <c:v>9.4420000000000055</c:v>
                </c:pt>
                <c:pt idx="67">
                  <c:v>9.5700000000000056</c:v>
                </c:pt>
                <c:pt idx="68">
                  <c:v>9.6980000000000057</c:v>
                </c:pt>
                <c:pt idx="69">
                  <c:v>9.8260000000000058</c:v>
                </c:pt>
                <c:pt idx="70">
                  <c:v>9.954000000000006</c:v>
                </c:pt>
                <c:pt idx="71">
                  <c:v>10.082000000000006</c:v>
                </c:pt>
                <c:pt idx="72">
                  <c:v>10.082000000000006</c:v>
                </c:pt>
                <c:pt idx="73">
                  <c:v>10.210000000000006</c:v>
                </c:pt>
                <c:pt idx="74">
                  <c:v>10.338000000000006</c:v>
                </c:pt>
                <c:pt idx="75">
                  <c:v>10.466000000000006</c:v>
                </c:pt>
                <c:pt idx="76">
                  <c:v>10.594000000000007</c:v>
                </c:pt>
                <c:pt idx="77">
                  <c:v>10.722000000000007</c:v>
                </c:pt>
                <c:pt idx="78">
                  <c:v>10.850000000000007</c:v>
                </c:pt>
                <c:pt idx="79">
                  <c:v>10.978000000000007</c:v>
                </c:pt>
                <c:pt idx="80">
                  <c:v>11.106000000000007</c:v>
                </c:pt>
                <c:pt idx="81">
                  <c:v>11.106000000000007</c:v>
                </c:pt>
                <c:pt idx="82">
                  <c:v>11.234000000000007</c:v>
                </c:pt>
                <c:pt idx="83">
                  <c:v>11.362000000000007</c:v>
                </c:pt>
                <c:pt idx="84">
                  <c:v>11.490000000000007</c:v>
                </c:pt>
                <c:pt idx="85">
                  <c:v>11.618000000000007</c:v>
                </c:pt>
                <c:pt idx="86">
                  <c:v>11.746000000000008</c:v>
                </c:pt>
                <c:pt idx="87">
                  <c:v>11.874000000000008</c:v>
                </c:pt>
                <c:pt idx="88">
                  <c:v>12.002000000000008</c:v>
                </c:pt>
                <c:pt idx="89">
                  <c:v>12.130000000000008</c:v>
                </c:pt>
                <c:pt idx="90">
                  <c:v>12.130000000000008</c:v>
                </c:pt>
                <c:pt idx="91">
                  <c:v>12.258000000000008</c:v>
                </c:pt>
                <c:pt idx="92">
                  <c:v>12.386000000000008</c:v>
                </c:pt>
                <c:pt idx="93">
                  <c:v>12.514000000000008</c:v>
                </c:pt>
                <c:pt idx="94">
                  <c:v>12.642000000000008</c:v>
                </c:pt>
                <c:pt idx="95">
                  <c:v>12.770000000000008</c:v>
                </c:pt>
                <c:pt idx="96">
                  <c:v>12.898000000000009</c:v>
                </c:pt>
                <c:pt idx="97">
                  <c:v>13.026000000000009</c:v>
                </c:pt>
                <c:pt idx="98">
                  <c:v>13.154000000000009</c:v>
                </c:pt>
                <c:pt idx="99">
                  <c:v>13.154000000000009</c:v>
                </c:pt>
                <c:pt idx="100">
                  <c:v>13.282000000000009</c:v>
                </c:pt>
                <c:pt idx="101">
                  <c:v>13.410000000000009</c:v>
                </c:pt>
                <c:pt idx="102">
                  <c:v>13.538000000000009</c:v>
                </c:pt>
                <c:pt idx="103">
                  <c:v>13.666000000000009</c:v>
                </c:pt>
                <c:pt idx="104">
                  <c:v>13.794000000000009</c:v>
                </c:pt>
                <c:pt idx="105">
                  <c:v>13.922000000000009</c:v>
                </c:pt>
                <c:pt idx="106">
                  <c:v>14.05000000000001</c:v>
                </c:pt>
                <c:pt idx="107">
                  <c:v>14.17800000000001</c:v>
                </c:pt>
              </c:numCache>
            </c:numRef>
          </c:xVal>
          <c:yVal>
            <c:numRef>
              <c:f>'MAF Calc'!$F$7:$F$114</c:f>
              <c:numCache>
                <c:formatCode>0.000</c:formatCode>
                <c:ptCount val="108"/>
                <c:pt idx="0">
                  <c:v>2.996</c:v>
                </c:pt>
                <c:pt idx="1">
                  <c:v>3.4180000000000001</c:v>
                </c:pt>
                <c:pt idx="2">
                  <c:v>3.91</c:v>
                </c:pt>
                <c:pt idx="3">
                  <c:v>4.4489999999999998</c:v>
                </c:pt>
                <c:pt idx="4">
                  <c:v>5.0590000000000002</c:v>
                </c:pt>
                <c:pt idx="5">
                  <c:v>5.7149999999999999</c:v>
                </c:pt>
                <c:pt idx="6">
                  <c:v>6.4180000000000001</c:v>
                </c:pt>
                <c:pt idx="7">
                  <c:v>7.1909999999999998</c:v>
                </c:pt>
                <c:pt idx="8">
                  <c:v>7.9880000000000004</c:v>
                </c:pt>
                <c:pt idx="9">
                  <c:v>8</c:v>
                </c:pt>
                <c:pt idx="10">
                  <c:v>8.859375</c:v>
                </c:pt>
                <c:pt idx="11">
                  <c:v>9.7578125</c:v>
                </c:pt>
                <c:pt idx="12">
                  <c:v>10.734375</c:v>
                </c:pt>
                <c:pt idx="13">
                  <c:v>11.828125</c:v>
                </c:pt>
                <c:pt idx="14">
                  <c:v>12.9609375</c:v>
                </c:pt>
                <c:pt idx="15">
                  <c:v>14.25</c:v>
                </c:pt>
                <c:pt idx="16">
                  <c:v>15.578125</c:v>
                </c:pt>
                <c:pt idx="17">
                  <c:v>17.023</c:v>
                </c:pt>
                <c:pt idx="18">
                  <c:v>17.035</c:v>
                </c:pt>
                <c:pt idx="19">
                  <c:v>18.55859375</c:v>
                </c:pt>
                <c:pt idx="20">
                  <c:v>20.140625</c:v>
                </c:pt>
                <c:pt idx="21">
                  <c:v>21.8984375</c:v>
                </c:pt>
                <c:pt idx="22">
                  <c:v>23.71484375</c:v>
                </c:pt>
                <c:pt idx="23">
                  <c:v>25.58984375</c:v>
                </c:pt>
                <c:pt idx="24">
                  <c:v>27.58203125</c:v>
                </c:pt>
                <c:pt idx="25">
                  <c:v>29.69140625</c:v>
                </c:pt>
                <c:pt idx="26">
                  <c:v>31.859000000000002</c:v>
                </c:pt>
                <c:pt idx="27">
                  <c:v>31.870999999999999</c:v>
                </c:pt>
                <c:pt idx="28">
                  <c:v>34.10546875</c:v>
                </c:pt>
                <c:pt idx="29">
                  <c:v>36.51171875</c:v>
                </c:pt>
                <c:pt idx="30">
                  <c:v>39.00390625</c:v>
                </c:pt>
                <c:pt idx="31">
                  <c:v>41.66796875</c:v>
                </c:pt>
                <c:pt idx="32">
                  <c:v>44.41796875</c:v>
                </c:pt>
                <c:pt idx="33">
                  <c:v>47.33984375</c:v>
                </c:pt>
                <c:pt idx="34">
                  <c:v>50.34765625</c:v>
                </c:pt>
                <c:pt idx="35">
                  <c:v>53.527000000000001</c:v>
                </c:pt>
                <c:pt idx="36">
                  <c:v>53.566000000000003</c:v>
                </c:pt>
                <c:pt idx="37">
                  <c:v>56.81640625</c:v>
                </c:pt>
                <c:pt idx="38">
                  <c:v>60.44140625</c:v>
                </c:pt>
                <c:pt idx="39">
                  <c:v>64.19140625</c:v>
                </c:pt>
                <c:pt idx="40">
                  <c:v>68.06640625</c:v>
                </c:pt>
                <c:pt idx="41">
                  <c:v>72.06640625</c:v>
                </c:pt>
                <c:pt idx="42">
                  <c:v>76.31640625</c:v>
                </c:pt>
                <c:pt idx="43">
                  <c:v>80.56640625</c:v>
                </c:pt>
                <c:pt idx="44">
                  <c:v>85.066000000000003</c:v>
                </c:pt>
                <c:pt idx="45">
                  <c:v>85.081999999999994</c:v>
                </c:pt>
                <c:pt idx="46">
                  <c:v>89.83984375</c:v>
                </c:pt>
                <c:pt idx="47">
                  <c:v>94.59765625</c:v>
                </c:pt>
                <c:pt idx="48">
                  <c:v>99.51953125</c:v>
                </c:pt>
                <c:pt idx="49">
                  <c:v>104.60546875</c:v>
                </c:pt>
                <c:pt idx="50">
                  <c:v>109.85546875</c:v>
                </c:pt>
                <c:pt idx="51">
                  <c:v>115.43359375</c:v>
                </c:pt>
                <c:pt idx="52">
                  <c:v>121.01171875</c:v>
                </c:pt>
                <c:pt idx="53">
                  <c:v>126.754</c:v>
                </c:pt>
                <c:pt idx="54">
                  <c:v>126.76600000000001</c:v>
                </c:pt>
                <c:pt idx="55">
                  <c:v>132.5625</c:v>
                </c:pt>
                <c:pt idx="56">
                  <c:v>138.7734375</c:v>
                </c:pt>
                <c:pt idx="57">
                  <c:v>144.984375</c:v>
                </c:pt>
                <c:pt idx="58">
                  <c:v>151.609375</c:v>
                </c:pt>
                <c:pt idx="59">
                  <c:v>158.234375</c:v>
                </c:pt>
                <c:pt idx="60">
                  <c:v>164.859375</c:v>
                </c:pt>
                <c:pt idx="61">
                  <c:v>171.8984375</c:v>
                </c:pt>
                <c:pt idx="62">
                  <c:v>179.14500000000001</c:v>
                </c:pt>
                <c:pt idx="63">
                  <c:v>179.21899999999999</c:v>
                </c:pt>
                <c:pt idx="64">
                  <c:v>186.546875</c:v>
                </c:pt>
                <c:pt idx="65">
                  <c:v>194.13671875</c:v>
                </c:pt>
                <c:pt idx="66">
                  <c:v>201.98828125</c:v>
                </c:pt>
                <c:pt idx="67">
                  <c:v>210.1015625</c:v>
                </c:pt>
                <c:pt idx="68">
                  <c:v>218.4765625</c:v>
                </c:pt>
                <c:pt idx="69">
                  <c:v>227.375</c:v>
                </c:pt>
                <c:pt idx="70">
                  <c:v>236.2734375</c:v>
                </c:pt>
                <c:pt idx="71">
                  <c:v>245.69499999999999</c:v>
                </c:pt>
                <c:pt idx="72">
                  <c:v>245.78100000000001</c:v>
                </c:pt>
                <c:pt idx="73">
                  <c:v>253.9375</c:v>
                </c:pt>
                <c:pt idx="74">
                  <c:v>263.21875</c:v>
                </c:pt>
                <c:pt idx="75">
                  <c:v>271.9375</c:v>
                </c:pt>
                <c:pt idx="76">
                  <c:v>281.21875</c:v>
                </c:pt>
                <c:pt idx="77">
                  <c:v>289.9375</c:v>
                </c:pt>
                <c:pt idx="78">
                  <c:v>299.21875</c:v>
                </c:pt>
                <c:pt idx="79">
                  <c:v>307.65625</c:v>
                </c:pt>
                <c:pt idx="80">
                  <c:v>316.93799999999999</c:v>
                </c:pt>
                <c:pt idx="81">
                  <c:v>317.238</c:v>
                </c:pt>
                <c:pt idx="82">
                  <c:v>325.61328125</c:v>
                </c:pt>
                <c:pt idx="83">
                  <c:v>334.51171875</c:v>
                </c:pt>
                <c:pt idx="84">
                  <c:v>343.41015625</c:v>
                </c:pt>
                <c:pt idx="85">
                  <c:v>352.83203125</c:v>
                </c:pt>
                <c:pt idx="86">
                  <c:v>361.73046875</c:v>
                </c:pt>
                <c:pt idx="87">
                  <c:v>370.62890625</c:v>
                </c:pt>
                <c:pt idx="88">
                  <c:v>379.52734375</c:v>
                </c:pt>
                <c:pt idx="89">
                  <c:v>389.47300000000001</c:v>
                </c:pt>
                <c:pt idx="90">
                  <c:v>389.57400000000001</c:v>
                </c:pt>
                <c:pt idx="91">
                  <c:v>398.42578125</c:v>
                </c:pt>
                <c:pt idx="92">
                  <c:v>407.27734375</c:v>
                </c:pt>
                <c:pt idx="93">
                  <c:v>416.12890625</c:v>
                </c:pt>
                <c:pt idx="94">
                  <c:v>424.98046875</c:v>
                </c:pt>
                <c:pt idx="95">
                  <c:v>434.63671875</c:v>
                </c:pt>
                <c:pt idx="96">
                  <c:v>443.48828125</c:v>
                </c:pt>
                <c:pt idx="97">
                  <c:v>452.33984375</c:v>
                </c:pt>
                <c:pt idx="98">
                  <c:v>461.19099999999997</c:v>
                </c:pt>
                <c:pt idx="99">
                  <c:v>462.18799999999999</c:v>
                </c:pt>
                <c:pt idx="100">
                  <c:v>470.15625</c:v>
                </c:pt>
                <c:pt idx="101">
                  <c:v>479.12109375</c:v>
                </c:pt>
                <c:pt idx="102">
                  <c:v>488.0859375</c:v>
                </c:pt>
                <c:pt idx="103">
                  <c:v>492.0703125</c:v>
                </c:pt>
                <c:pt idx="104">
                  <c:v>495.05859375</c:v>
                </c:pt>
                <c:pt idx="105">
                  <c:v>500.0390625</c:v>
                </c:pt>
                <c:pt idx="106">
                  <c:v>506.015625</c:v>
                </c:pt>
                <c:pt idx="107">
                  <c:v>510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328768"/>
        <c:axId val="103334656"/>
      </c:scatterChart>
      <c:valAx>
        <c:axId val="103328768"/>
        <c:scaling>
          <c:orientation val="minMax"/>
        </c:scaling>
        <c:delete val="0"/>
        <c:axPos val="b"/>
        <c:minorGridlines/>
        <c:numFmt formatCode="0.000" sourceLinked="1"/>
        <c:majorTickMark val="out"/>
        <c:minorTickMark val="none"/>
        <c:tickLblPos val="nextTo"/>
        <c:crossAx val="103334656"/>
        <c:crosses val="autoZero"/>
        <c:crossBetween val="midCat"/>
        <c:majorUnit val="1"/>
        <c:minorUnit val="0.25"/>
      </c:valAx>
      <c:valAx>
        <c:axId val="103334656"/>
        <c:scaling>
          <c:orientation val="minMax"/>
        </c:scaling>
        <c:delete val="0"/>
        <c:axPos val="l"/>
        <c:majorGridlines/>
        <c:minorGridlines/>
        <c:numFmt formatCode="0.000" sourceLinked="1"/>
        <c:majorTickMark val="out"/>
        <c:minorTickMark val="none"/>
        <c:tickLblPos val="nextTo"/>
        <c:crossAx val="103328768"/>
        <c:crosses val="autoZero"/>
        <c:crossBetween val="midCat"/>
        <c:majorUnit val="50"/>
        <c:minorUnit val="10"/>
      </c:valAx>
    </c:plotArea>
    <c:legend>
      <c:legendPos val="t"/>
      <c:layout>
        <c:manualLayout>
          <c:xMode val="edge"/>
          <c:yMode val="edge"/>
          <c:x val="0.29706977046280808"/>
          <c:y val="3.9724898901531643E-2"/>
          <c:w val="0.49462955061225417"/>
          <c:h val="6.3070232567634402E-2"/>
        </c:manualLayout>
      </c:layout>
      <c:overlay val="1"/>
      <c:spPr>
        <a:solidFill>
          <a:schemeClr val="bg1"/>
        </a:solidFill>
        <a:ln w="25400" cmpd="sng">
          <a:solidFill>
            <a:srgbClr val="002060"/>
          </a:solidFill>
        </a:ln>
      </c:sp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26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295274</xdr:colOff>
          <xdr:row>1</xdr:row>
          <xdr:rowOff>152400</xdr:rowOff>
        </xdr:from>
        <xdr:to>
          <xdr:col>12</xdr:col>
          <xdr:colOff>12699</xdr:colOff>
          <xdr:row>2</xdr:row>
          <xdr:rowOff>352425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AU" sz="18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Recalculate MAF Tables</a:t>
              </a:r>
            </a:p>
            <a:p>
              <a:pPr algn="ctr" rtl="0">
                <a:defRPr sz="1000"/>
              </a:pPr>
              <a:r>
                <a:rPr lang="en-AU" sz="18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NOTE: This may take up to several minutes</a:t>
              </a:r>
              <a:endParaRPr lang="en-AU"/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Y114"/>
  <sheetViews>
    <sheetView tabSelected="1" zoomScale="75" zoomScaleNormal="75" workbookViewId="0">
      <selection activeCell="N3" sqref="N3"/>
    </sheetView>
  </sheetViews>
  <sheetFormatPr defaultRowHeight="15" x14ac:dyDescent="0.2"/>
  <cols>
    <col min="1" max="1" width="22.140625" style="29" customWidth="1"/>
    <col min="2" max="2" width="13.7109375" style="30" customWidth="1"/>
    <col min="3" max="3" width="16" style="30" customWidth="1"/>
    <col min="4" max="4" width="13.7109375" style="30" customWidth="1"/>
    <col min="5" max="5" width="14" style="29" customWidth="1"/>
    <col min="6" max="9" width="14.42578125" style="29" customWidth="1"/>
    <col min="10" max="10" width="15.42578125" style="29" customWidth="1"/>
    <col min="11" max="11" width="15.140625" style="29" customWidth="1"/>
    <col min="12" max="12" width="4.5703125" style="29" bestFit="1" customWidth="1"/>
    <col min="13" max="13" width="11.7109375" style="29" bestFit="1" customWidth="1"/>
    <col min="14" max="14" width="11.28515625" style="29" customWidth="1"/>
    <col min="15" max="16" width="10.42578125" style="29" bestFit="1" customWidth="1"/>
    <col min="17" max="18" width="10.42578125" style="29" customWidth="1"/>
    <col min="19" max="19" width="10.42578125" style="29" bestFit="1" customWidth="1"/>
    <col min="20" max="20" width="10.42578125" style="29" customWidth="1"/>
    <col min="21" max="21" width="10.42578125" style="29" bestFit="1" customWidth="1"/>
    <col min="22" max="23" width="11.7109375" style="29" bestFit="1" customWidth="1"/>
    <col min="24" max="24" width="18" style="29" customWidth="1"/>
    <col min="25" max="25" width="11.85546875" style="29" customWidth="1"/>
    <col min="26" max="16384" width="9.140625" style="29"/>
  </cols>
  <sheetData>
    <row r="1" spans="1:23" ht="33.75" x14ac:dyDescent="0.5">
      <c r="A1" s="131" t="s">
        <v>175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2" spans="1:23" ht="33.75" x14ac:dyDescent="0.5">
      <c r="A2" s="29" t="s">
        <v>174</v>
      </c>
      <c r="F2" s="31"/>
      <c r="G2" s="31"/>
      <c r="H2" s="31"/>
      <c r="I2" s="31"/>
      <c r="J2" s="31"/>
      <c r="V2" s="130" t="s">
        <v>200</v>
      </c>
    </row>
    <row r="3" spans="1:23" ht="33.75" x14ac:dyDescent="0.5">
      <c r="A3" s="32" t="s">
        <v>64</v>
      </c>
      <c r="F3" s="31"/>
      <c r="G3" s="31"/>
      <c r="H3" s="31"/>
      <c r="I3" s="31"/>
      <c r="J3" s="31"/>
    </row>
    <row r="4" spans="1:23" ht="15.75" x14ac:dyDescent="0.25">
      <c r="A4" s="33" t="s">
        <v>78</v>
      </c>
      <c r="C4" s="29"/>
      <c r="D4" s="85">
        <v>1.89</v>
      </c>
    </row>
    <row r="5" spans="1:23" ht="15.75" x14ac:dyDescent="0.25">
      <c r="A5" s="33" t="s">
        <v>79</v>
      </c>
      <c r="C5" s="34"/>
      <c r="D5" s="85">
        <v>1.89</v>
      </c>
    </row>
    <row r="6" spans="1:23" ht="63.75" thickBot="1" x14ac:dyDescent="0.25">
      <c r="A6" s="35"/>
      <c r="B6" s="36" t="s">
        <v>80</v>
      </c>
      <c r="C6" s="36" t="s">
        <v>74</v>
      </c>
      <c r="D6" s="36" t="s">
        <v>75</v>
      </c>
      <c r="E6" s="36" t="s">
        <v>76</v>
      </c>
      <c r="F6" s="36" t="s">
        <v>77</v>
      </c>
      <c r="G6" s="36" t="s">
        <v>81</v>
      </c>
      <c r="H6" s="36" t="s">
        <v>198</v>
      </c>
      <c r="I6" s="36"/>
      <c r="J6" s="36"/>
    </row>
    <row r="7" spans="1:23" ht="16.5" thickBot="1" x14ac:dyDescent="0.3">
      <c r="A7" s="37" t="s">
        <v>65</v>
      </c>
      <c r="B7" s="38">
        <f>+D4</f>
        <v>1.89</v>
      </c>
      <c r="C7" s="38">
        <f>+HEX2DEC(CONCATENATE($K$9,$L$9))/256+HEX2DEC(N9)*HEX2DEC($M$9)/256</f>
        <v>2.99609375</v>
      </c>
      <c r="D7" s="86">
        <v>0</v>
      </c>
      <c r="E7" s="39">
        <f>+C7*(1+D7/100)</f>
        <v>2.99609375</v>
      </c>
      <c r="F7" s="40">
        <f>+ROUND(HEX2DEC(CONCATENATE($K$42,$L$42))/256+HEX2DEC(N42)*HEX2DEC($M$42)/256,3)</f>
        <v>2.996</v>
      </c>
      <c r="G7" s="40">
        <f>+D5</f>
        <v>1.89</v>
      </c>
      <c r="H7" s="40"/>
      <c r="I7" s="41"/>
      <c r="J7" s="41"/>
      <c r="K7" s="33" t="s">
        <v>73</v>
      </c>
    </row>
    <row r="8" spans="1:23" ht="16.5" thickBot="1" x14ac:dyDescent="0.3">
      <c r="A8" s="42"/>
      <c r="B8" s="41">
        <f>0.128+B7</f>
        <v>2.0179999999999998</v>
      </c>
      <c r="C8" s="41">
        <f>+HEX2DEC(CONCATENATE($K$9,$L$9))/256+HEX2DEC(O9)*HEX2DEC($M$9)/256</f>
        <v>3.41796875</v>
      </c>
      <c r="D8" s="87">
        <v>0</v>
      </c>
      <c r="E8" s="43">
        <f t="shared" ref="E8:E71" si="0">+C8*(1+D8/100)</f>
        <v>3.41796875</v>
      </c>
      <c r="F8" s="44">
        <f>+ROUND(HEX2DEC(CONCATENATE($K$42,$L$42))/256+HEX2DEC(O42)*HEX2DEC($M$42)/256,3)</f>
        <v>3.4180000000000001</v>
      </c>
      <c r="G8" s="44">
        <f>0.128+G7</f>
        <v>2.0179999999999998</v>
      </c>
      <c r="H8" s="44"/>
      <c r="I8" s="41"/>
      <c r="K8" s="46" t="s">
        <v>0</v>
      </c>
      <c r="L8" s="47"/>
      <c r="M8" s="48"/>
      <c r="N8" s="107" t="s">
        <v>1</v>
      </c>
      <c r="O8" s="47"/>
      <c r="P8" s="49"/>
      <c r="Q8" s="49"/>
      <c r="R8" s="49"/>
      <c r="S8" s="49"/>
      <c r="T8" s="49"/>
      <c r="U8" s="49"/>
      <c r="V8" s="50"/>
    </row>
    <row r="9" spans="1:23" ht="15.75" x14ac:dyDescent="0.25">
      <c r="A9" s="42"/>
      <c r="B9" s="41">
        <f t="shared" ref="B9:B15" si="1">0.128+B8</f>
        <v>2.1459999999999999</v>
      </c>
      <c r="C9" s="41">
        <f>+HEX2DEC(CONCATENATE($K$9,$L$9))/256+HEX2DEC(P9)*HEX2DEC($M$9)/256</f>
        <v>3.91015625</v>
      </c>
      <c r="D9" s="87">
        <v>0</v>
      </c>
      <c r="E9" s="43">
        <f t="shared" si="0"/>
        <v>3.91015625</v>
      </c>
      <c r="F9" s="44">
        <f>+ROUND(HEX2DEC(CONCATENATE($K$42,$L$42))/256+HEX2DEC(P42)*HEX2DEC($M$42)/256,3)</f>
        <v>3.91</v>
      </c>
      <c r="G9" s="44">
        <f t="shared" ref="G9:G15" si="2">0.128+G8</f>
        <v>2.1459999999999999</v>
      </c>
      <c r="H9" s="44"/>
      <c r="I9" s="41"/>
      <c r="J9" s="40" t="s">
        <v>82</v>
      </c>
      <c r="K9" s="1" t="s">
        <v>2</v>
      </c>
      <c r="L9" s="2" t="s">
        <v>3</v>
      </c>
      <c r="M9" s="3" t="s">
        <v>4</v>
      </c>
      <c r="N9" s="2" t="s">
        <v>5</v>
      </c>
      <c r="O9" s="2" t="s">
        <v>6</v>
      </c>
      <c r="P9" s="2" t="s">
        <v>7</v>
      </c>
      <c r="Q9" s="2" t="s">
        <v>8</v>
      </c>
      <c r="R9" s="2" t="s">
        <v>9</v>
      </c>
      <c r="S9" s="2" t="s">
        <v>10</v>
      </c>
      <c r="T9" s="2" t="s">
        <v>11</v>
      </c>
      <c r="U9" s="2" t="s">
        <v>12</v>
      </c>
      <c r="V9" s="3" t="s">
        <v>13</v>
      </c>
    </row>
    <row r="10" spans="1:23" ht="15.75" x14ac:dyDescent="0.25">
      <c r="A10" s="42"/>
      <c r="B10" s="41">
        <f t="shared" si="1"/>
        <v>2.274</v>
      </c>
      <c r="C10" s="41">
        <f>+HEX2DEC(CONCATENATE($K$9,$L$9))/256+HEX2DEC(Q9)*HEX2DEC($M$9)/256</f>
        <v>4.44921875</v>
      </c>
      <c r="D10" s="87">
        <v>0</v>
      </c>
      <c r="E10" s="43">
        <f t="shared" si="0"/>
        <v>4.44921875</v>
      </c>
      <c r="F10" s="44">
        <f>+ROUND(HEX2DEC(CONCATENATE($K$42,$L$42))/256+HEX2DEC(Q42)*HEX2DEC($M$42)/256,3)</f>
        <v>4.4489999999999998</v>
      </c>
      <c r="G10" s="44">
        <f t="shared" si="2"/>
        <v>2.274</v>
      </c>
      <c r="H10" s="44"/>
      <c r="I10" s="41"/>
      <c r="J10" s="44" t="s">
        <v>83</v>
      </c>
      <c r="K10" s="4" t="s">
        <v>14</v>
      </c>
      <c r="L10" s="5" t="s">
        <v>5</v>
      </c>
      <c r="M10" s="6" t="s">
        <v>15</v>
      </c>
      <c r="N10" s="5" t="s">
        <v>5</v>
      </c>
      <c r="O10" s="5" t="s">
        <v>16</v>
      </c>
      <c r="P10" s="5" t="s">
        <v>17</v>
      </c>
      <c r="Q10" s="5" t="s">
        <v>18</v>
      </c>
      <c r="R10" s="5" t="s">
        <v>19</v>
      </c>
      <c r="S10" s="5" t="s">
        <v>20</v>
      </c>
      <c r="T10" s="5" t="s">
        <v>21</v>
      </c>
      <c r="U10" s="5" t="s">
        <v>22</v>
      </c>
      <c r="V10" s="6" t="s">
        <v>23</v>
      </c>
    </row>
    <row r="11" spans="1:23" ht="15.75" x14ac:dyDescent="0.25">
      <c r="A11" s="42"/>
      <c r="B11" s="41">
        <f t="shared" si="1"/>
        <v>2.4020000000000001</v>
      </c>
      <c r="C11" s="41">
        <f>+HEX2DEC(CONCATENATE($K$9,$L$9))/256+HEX2DEC(R9)*HEX2DEC($M$9)/256</f>
        <v>5.05859375</v>
      </c>
      <c r="D11" s="87">
        <v>0</v>
      </c>
      <c r="E11" s="43">
        <f t="shared" si="0"/>
        <v>5.05859375</v>
      </c>
      <c r="F11" s="44">
        <f>+ROUND(HEX2DEC(CONCATENATE($K$42,$L$42))/256+HEX2DEC(R42)*HEX2DEC($M$42)/256,3)</f>
        <v>5.0590000000000002</v>
      </c>
      <c r="G11" s="44">
        <f t="shared" si="2"/>
        <v>2.4020000000000001</v>
      </c>
      <c r="H11" s="44"/>
      <c r="I11" s="41"/>
      <c r="J11" s="44" t="s">
        <v>84</v>
      </c>
      <c r="K11" s="4" t="s">
        <v>24</v>
      </c>
      <c r="L11" s="5" t="s">
        <v>14</v>
      </c>
      <c r="M11" s="6" t="s">
        <v>25</v>
      </c>
      <c r="N11" s="5" t="s">
        <v>5</v>
      </c>
      <c r="O11" s="5" t="s">
        <v>26</v>
      </c>
      <c r="P11" s="5" t="s">
        <v>27</v>
      </c>
      <c r="Q11" s="5" t="s">
        <v>28</v>
      </c>
      <c r="R11" s="5" t="s">
        <v>29</v>
      </c>
      <c r="S11" s="5" t="s">
        <v>11</v>
      </c>
      <c r="T11" s="5" t="s">
        <v>30</v>
      </c>
      <c r="U11" s="5" t="s">
        <v>31</v>
      </c>
      <c r="V11" s="6" t="s">
        <v>32</v>
      </c>
    </row>
    <row r="12" spans="1:23" ht="15.75" x14ac:dyDescent="0.25">
      <c r="A12" s="42"/>
      <c r="B12" s="41">
        <f t="shared" si="1"/>
        <v>2.5300000000000002</v>
      </c>
      <c r="C12" s="41">
        <f>+HEX2DEC(CONCATENATE($K$9,$L$9))/256+HEX2DEC(S9)*HEX2DEC($M$9)/256</f>
        <v>5.71484375</v>
      </c>
      <c r="D12" s="87">
        <v>0</v>
      </c>
      <c r="E12" s="43">
        <f t="shared" si="0"/>
        <v>5.71484375</v>
      </c>
      <c r="F12" s="44">
        <f>+ROUND(HEX2DEC(CONCATENATE($K$42,$L$42))/256+HEX2DEC(S42)*HEX2DEC($M$42)/256,3)</f>
        <v>5.7149999999999999</v>
      </c>
      <c r="G12" s="44">
        <f t="shared" si="2"/>
        <v>2.5300000000000002</v>
      </c>
      <c r="H12" s="44"/>
      <c r="I12" s="41"/>
      <c r="J12" s="44" t="s">
        <v>85</v>
      </c>
      <c r="K12" s="4" t="s">
        <v>33</v>
      </c>
      <c r="L12" s="5" t="s">
        <v>34</v>
      </c>
      <c r="M12" s="6" t="s">
        <v>16</v>
      </c>
      <c r="N12" s="5" t="s">
        <v>5</v>
      </c>
      <c r="O12" s="5" t="s">
        <v>26</v>
      </c>
      <c r="P12" s="5" t="s">
        <v>35</v>
      </c>
      <c r="Q12" s="5" t="s">
        <v>28</v>
      </c>
      <c r="R12" s="5" t="s">
        <v>29</v>
      </c>
      <c r="S12" s="5" t="s">
        <v>11</v>
      </c>
      <c r="T12" s="5" t="s">
        <v>30</v>
      </c>
      <c r="U12" s="5" t="s">
        <v>36</v>
      </c>
      <c r="V12" s="6" t="s">
        <v>37</v>
      </c>
    </row>
    <row r="13" spans="1:23" ht="15.75" x14ac:dyDescent="0.25">
      <c r="A13" s="42"/>
      <c r="B13" s="41">
        <f t="shared" si="1"/>
        <v>2.6580000000000004</v>
      </c>
      <c r="C13" s="41">
        <f>+HEX2DEC(CONCATENATE($K$9,$L$9))/256+HEX2DEC(T9)*HEX2DEC($M$9)/256</f>
        <v>6.41796875</v>
      </c>
      <c r="D13" s="87">
        <v>0</v>
      </c>
      <c r="E13" s="43">
        <f t="shared" si="0"/>
        <v>6.41796875</v>
      </c>
      <c r="F13" s="44">
        <f>+ROUND(HEX2DEC(CONCATENATE($K$42,$L$42))/256+HEX2DEC(T42)*HEX2DEC($M$42)/256,3)</f>
        <v>6.4180000000000001</v>
      </c>
      <c r="G13" s="44">
        <f t="shared" si="2"/>
        <v>2.6580000000000004</v>
      </c>
      <c r="H13" s="44"/>
      <c r="I13" s="41"/>
      <c r="J13" s="44" t="s">
        <v>86</v>
      </c>
      <c r="K13" s="4" t="s">
        <v>27</v>
      </c>
      <c r="L13" s="5" t="s">
        <v>38</v>
      </c>
      <c r="M13" s="6" t="s">
        <v>39</v>
      </c>
      <c r="N13" s="5" t="s">
        <v>5</v>
      </c>
      <c r="O13" s="5" t="s">
        <v>26</v>
      </c>
      <c r="P13" s="5" t="s">
        <v>40</v>
      </c>
      <c r="Q13" s="5" t="s">
        <v>41</v>
      </c>
      <c r="R13" s="5" t="s">
        <v>10</v>
      </c>
      <c r="S13" s="5" t="s">
        <v>42</v>
      </c>
      <c r="T13" s="5" t="s">
        <v>43</v>
      </c>
      <c r="U13" s="5" t="s">
        <v>31</v>
      </c>
      <c r="V13" s="6" t="s">
        <v>37</v>
      </c>
    </row>
    <row r="14" spans="1:23" ht="15.75" x14ac:dyDescent="0.25">
      <c r="A14" s="42"/>
      <c r="B14" s="41">
        <f t="shared" si="1"/>
        <v>2.7860000000000005</v>
      </c>
      <c r="C14" s="41">
        <f>+HEX2DEC(CONCATENATE($K$9,$L$9))/256+HEX2DEC(U9)*HEX2DEC($M$9)/256</f>
        <v>7.19140625</v>
      </c>
      <c r="D14" s="87">
        <v>0</v>
      </c>
      <c r="E14" s="43">
        <f t="shared" si="0"/>
        <v>7.19140625</v>
      </c>
      <c r="F14" s="44">
        <f>+ROUND(HEX2DEC(CONCATENATE($K$42,$L$42))/256+HEX2DEC(U42)*HEX2DEC($M$42)/256,3)</f>
        <v>7.1909999999999998</v>
      </c>
      <c r="G14" s="44">
        <f t="shared" si="2"/>
        <v>2.7860000000000005</v>
      </c>
      <c r="H14" s="44"/>
      <c r="I14" s="41"/>
      <c r="J14" s="44" t="s">
        <v>87</v>
      </c>
      <c r="K14" s="4" t="s">
        <v>41</v>
      </c>
      <c r="L14" s="5" t="s">
        <v>17</v>
      </c>
      <c r="M14" s="6" t="s">
        <v>44</v>
      </c>
      <c r="N14" s="5" t="s">
        <v>5</v>
      </c>
      <c r="O14" s="5" t="s">
        <v>45</v>
      </c>
      <c r="P14" s="5" t="s">
        <v>46</v>
      </c>
      <c r="Q14" s="5" t="s">
        <v>47</v>
      </c>
      <c r="R14" s="5" t="s">
        <v>48</v>
      </c>
      <c r="S14" s="5" t="s">
        <v>49</v>
      </c>
      <c r="T14" s="5" t="s">
        <v>50</v>
      </c>
      <c r="U14" s="5" t="s">
        <v>51</v>
      </c>
      <c r="V14" s="6" t="s">
        <v>32</v>
      </c>
    </row>
    <row r="15" spans="1:23" ht="16.5" thickBot="1" x14ac:dyDescent="0.3">
      <c r="A15" s="51"/>
      <c r="B15" s="52">
        <f t="shared" si="1"/>
        <v>2.9140000000000006</v>
      </c>
      <c r="C15" s="52">
        <f>+HEX2DEC(CONCATENATE($K$9,$L$9))/256+HEX2DEC(V9)*HEX2DEC($M$9)/256</f>
        <v>7.98828125</v>
      </c>
      <c r="D15" s="88">
        <v>0</v>
      </c>
      <c r="E15" s="53">
        <f t="shared" si="0"/>
        <v>7.98828125</v>
      </c>
      <c r="F15" s="54">
        <f>+ROUND(HEX2DEC(CONCATENATE($K$42,$L$42))/256+HEX2DEC(V42)*HEX2DEC($M$42)/256,3)</f>
        <v>7.9880000000000004</v>
      </c>
      <c r="G15" s="54">
        <f t="shared" si="2"/>
        <v>2.9140000000000006</v>
      </c>
      <c r="H15" s="54"/>
      <c r="I15" s="41"/>
      <c r="J15" s="44" t="s">
        <v>88</v>
      </c>
      <c r="K15" s="4" t="s">
        <v>52</v>
      </c>
      <c r="L15" s="5" t="s">
        <v>36</v>
      </c>
      <c r="M15" s="6" t="s">
        <v>27</v>
      </c>
      <c r="N15" s="5" t="s">
        <v>5</v>
      </c>
      <c r="O15" s="5" t="s">
        <v>45</v>
      </c>
      <c r="P15" s="5" t="s">
        <v>53</v>
      </c>
      <c r="Q15" s="5" t="s">
        <v>9</v>
      </c>
      <c r="R15" s="5" t="s">
        <v>54</v>
      </c>
      <c r="S15" s="5" t="s">
        <v>55</v>
      </c>
      <c r="T15" s="5" t="s">
        <v>50</v>
      </c>
      <c r="U15" s="5" t="s">
        <v>51</v>
      </c>
      <c r="V15" s="6" t="s">
        <v>32</v>
      </c>
    </row>
    <row r="16" spans="1:23" ht="16.5" thickBot="1" x14ac:dyDescent="0.3">
      <c r="A16" s="37" t="s">
        <v>66</v>
      </c>
      <c r="B16" s="38">
        <f>+B15</f>
        <v>2.9140000000000006</v>
      </c>
      <c r="C16" s="38">
        <f>+HEX2DEC(CONCATENATE($K$10,$L$10))/256+HEX2DEC(N10)*HEX2DEC($M$10)/256</f>
        <v>8</v>
      </c>
      <c r="D16" s="89">
        <f>+D15</f>
        <v>0</v>
      </c>
      <c r="E16" s="90">
        <f>+E15+H16</f>
        <v>7.9982812499999998</v>
      </c>
      <c r="F16" s="40">
        <f>+ROUND(HEX2DEC(CONCATENATE($K$43,$L$43))/256+HEX2DEC(N43)*HEX2DEC($M$43)/256,3)</f>
        <v>8</v>
      </c>
      <c r="G16" s="40">
        <f>+G15</f>
        <v>2.9140000000000006</v>
      </c>
      <c r="H16" s="40">
        <v>1.0000000000000002E-2</v>
      </c>
      <c r="I16" s="41"/>
      <c r="J16" s="45" t="s">
        <v>89</v>
      </c>
      <c r="K16" s="7" t="s">
        <v>12</v>
      </c>
      <c r="L16" s="8" t="s">
        <v>56</v>
      </c>
      <c r="M16" s="9" t="s">
        <v>57</v>
      </c>
      <c r="N16" s="8" t="s">
        <v>5</v>
      </c>
      <c r="O16" s="8" t="s">
        <v>45</v>
      </c>
      <c r="P16" s="8" t="s">
        <v>46</v>
      </c>
      <c r="Q16" s="8" t="s">
        <v>47</v>
      </c>
      <c r="R16" s="8" t="s">
        <v>48</v>
      </c>
      <c r="S16" s="8" t="s">
        <v>49</v>
      </c>
      <c r="T16" s="8" t="s">
        <v>50</v>
      </c>
      <c r="U16" s="8" t="s">
        <v>51</v>
      </c>
      <c r="V16" s="9" t="s">
        <v>58</v>
      </c>
      <c r="W16" s="93"/>
    </row>
    <row r="17" spans="1:25" ht="15.75" x14ac:dyDescent="0.25">
      <c r="A17" s="42"/>
      <c r="B17" s="41">
        <f>0.128+B16</f>
        <v>3.0420000000000007</v>
      </c>
      <c r="C17" s="41">
        <f>+HEX2DEC(CONCATENATE($K$10,$L$10))/256+HEX2DEC(O10)*HEX2DEC($M$10)/256</f>
        <v>8.859375</v>
      </c>
      <c r="D17" s="87">
        <v>0</v>
      </c>
      <c r="E17" s="55">
        <f t="shared" si="0"/>
        <v>8.859375</v>
      </c>
      <c r="F17" s="44">
        <f>+HEX2DEC(CONCATENATE($K$43,$L$43))/256+HEX2DEC(O43)*HEX2DEC($M$43)/256</f>
        <v>8.859375</v>
      </c>
      <c r="G17" s="44">
        <f>0.128+G16</f>
        <v>3.0420000000000007</v>
      </c>
      <c r="H17" s="44"/>
      <c r="I17" s="41"/>
      <c r="J17" s="44" t="s">
        <v>178</v>
      </c>
      <c r="K17" s="119" t="s">
        <v>108</v>
      </c>
      <c r="L17" s="119" t="s">
        <v>190</v>
      </c>
      <c r="M17" s="120" t="s">
        <v>190</v>
      </c>
      <c r="N17" s="121" t="s">
        <v>134</v>
      </c>
      <c r="O17" s="119" t="s">
        <v>191</v>
      </c>
      <c r="P17" s="119" t="s">
        <v>45</v>
      </c>
      <c r="Q17" s="119">
        <v>29</v>
      </c>
      <c r="R17" s="119">
        <v>37</v>
      </c>
      <c r="S17" s="119">
        <v>44</v>
      </c>
      <c r="T17" s="119">
        <v>52</v>
      </c>
      <c r="U17" s="119" t="s">
        <v>192</v>
      </c>
      <c r="V17" s="120" t="s">
        <v>145</v>
      </c>
    </row>
    <row r="18" spans="1:25" ht="15.75" x14ac:dyDescent="0.25">
      <c r="A18" s="42"/>
      <c r="B18" s="41">
        <f t="shared" ref="B18:B24" si="3">0.128+B17</f>
        <v>3.1700000000000008</v>
      </c>
      <c r="C18" s="41">
        <f>+HEX2DEC(CONCATENATE($K$10,$L$10))/256+HEX2DEC(P10)*HEX2DEC($M$10)/256</f>
        <v>9.7578125</v>
      </c>
      <c r="D18" s="87">
        <v>0</v>
      </c>
      <c r="E18" s="55">
        <f t="shared" si="0"/>
        <v>9.7578125</v>
      </c>
      <c r="F18" s="44">
        <f>+HEX2DEC(CONCATENATE($K$43,$L$43))/256+HEX2DEC(P43)*HEX2DEC($M$43)/256</f>
        <v>9.7578125</v>
      </c>
      <c r="G18" s="44">
        <f t="shared" ref="G18:G24" si="4">0.128+G17</f>
        <v>3.1700000000000008</v>
      </c>
      <c r="H18" s="44"/>
      <c r="I18" s="41"/>
      <c r="J18" s="44" t="s">
        <v>179</v>
      </c>
      <c r="K18" s="119" t="s">
        <v>3</v>
      </c>
      <c r="L18" s="119" t="s">
        <v>3</v>
      </c>
      <c r="M18" s="120" t="s">
        <v>3</v>
      </c>
      <c r="N18" s="119" t="s">
        <v>8</v>
      </c>
      <c r="O18" s="119">
        <v>46</v>
      </c>
      <c r="P18" s="119" t="s">
        <v>144</v>
      </c>
      <c r="Q18" s="119">
        <v>58</v>
      </c>
      <c r="R18" s="119">
        <v>61</v>
      </c>
      <c r="S18" s="119" t="s">
        <v>188</v>
      </c>
      <c r="T18" s="119">
        <v>73</v>
      </c>
      <c r="U18" s="119" t="s">
        <v>193</v>
      </c>
      <c r="V18" s="120">
        <v>86</v>
      </c>
    </row>
    <row r="19" spans="1:25" ht="15.75" x14ac:dyDescent="0.25">
      <c r="A19" s="42"/>
      <c r="B19" s="41">
        <f t="shared" si="3"/>
        <v>3.2980000000000009</v>
      </c>
      <c r="C19" s="41">
        <f>+HEX2DEC(CONCATENATE($K$10,$L$10))/256+HEX2DEC(Q10)*HEX2DEC($M$10)/256</f>
        <v>10.734375</v>
      </c>
      <c r="D19" s="87">
        <v>0</v>
      </c>
      <c r="E19" s="55">
        <f t="shared" si="0"/>
        <v>10.734375</v>
      </c>
      <c r="F19" s="44">
        <f>+HEX2DEC(CONCATENATE($K$43,$L$43))/256+HEX2DEC(Q43)*HEX2DEC($M$43)/256</f>
        <v>10.734375</v>
      </c>
      <c r="G19" s="44">
        <f t="shared" si="4"/>
        <v>3.2980000000000009</v>
      </c>
      <c r="H19" s="44"/>
      <c r="I19" s="41"/>
      <c r="J19" s="44" t="s">
        <v>183</v>
      </c>
      <c r="K19" s="122" t="s">
        <v>3</v>
      </c>
      <c r="L19" s="119" t="s">
        <v>3</v>
      </c>
      <c r="M19" s="120" t="s">
        <v>3</v>
      </c>
      <c r="N19" s="122">
        <v>86</v>
      </c>
      <c r="O19" s="119" t="s">
        <v>157</v>
      </c>
      <c r="P19" s="119">
        <v>98</v>
      </c>
      <c r="Q19" s="119" t="s">
        <v>171</v>
      </c>
      <c r="R19" s="119" t="s">
        <v>190</v>
      </c>
      <c r="S19" s="119" t="s">
        <v>12</v>
      </c>
      <c r="T19" s="119" t="s">
        <v>180</v>
      </c>
      <c r="U19" s="119" t="s">
        <v>194</v>
      </c>
      <c r="V19" s="120" t="s">
        <v>187</v>
      </c>
      <c r="Y19" s="56"/>
    </row>
    <row r="20" spans="1:25" ht="16.5" thickBot="1" x14ac:dyDescent="0.3">
      <c r="A20" s="42"/>
      <c r="B20" s="41">
        <f t="shared" si="3"/>
        <v>3.426000000000001</v>
      </c>
      <c r="C20" s="41">
        <f>+HEX2DEC(CONCATENATE($K$10,$L$10))/256+HEX2DEC(R10)*HEX2DEC($M$10)/256</f>
        <v>11.828125</v>
      </c>
      <c r="D20" s="87">
        <v>0</v>
      </c>
      <c r="E20" s="55">
        <f t="shared" si="0"/>
        <v>11.828125</v>
      </c>
      <c r="F20" s="44">
        <f>+HEX2DEC(CONCATENATE($K$43,$L$43))/256+HEX2DEC(R43)*HEX2DEC($M$43)/256</f>
        <v>11.828125</v>
      </c>
      <c r="G20" s="44">
        <f t="shared" si="4"/>
        <v>3.426000000000001</v>
      </c>
      <c r="H20" s="44"/>
      <c r="I20" s="41"/>
      <c r="J20" s="54" t="s">
        <v>186</v>
      </c>
      <c r="K20" s="123" t="s">
        <v>3</v>
      </c>
      <c r="L20" s="124" t="s">
        <v>3</v>
      </c>
      <c r="M20" s="125" t="s">
        <v>3</v>
      </c>
      <c r="N20" s="123" t="s">
        <v>187</v>
      </c>
      <c r="O20" s="124" t="s">
        <v>36</v>
      </c>
      <c r="P20" s="124" t="s">
        <v>181</v>
      </c>
      <c r="Q20" s="124" t="s">
        <v>34</v>
      </c>
      <c r="R20" s="124" t="s">
        <v>162</v>
      </c>
      <c r="S20" s="124" t="s">
        <v>98</v>
      </c>
      <c r="T20" s="124" t="s">
        <v>195</v>
      </c>
      <c r="U20" s="124" t="s">
        <v>146</v>
      </c>
      <c r="V20" s="125" t="s">
        <v>3</v>
      </c>
      <c r="Y20" s="56"/>
    </row>
    <row r="21" spans="1:25" ht="15.75" x14ac:dyDescent="0.25">
      <c r="A21" s="42"/>
      <c r="B21" s="41">
        <f t="shared" si="3"/>
        <v>3.5540000000000012</v>
      </c>
      <c r="C21" s="41">
        <f>+HEX2DEC(CONCATENATE($K$10,$L$10))/256+HEX2DEC(S10)*HEX2DEC($M$10)/256</f>
        <v>12.9609375</v>
      </c>
      <c r="D21" s="87">
        <v>0</v>
      </c>
      <c r="E21" s="55">
        <f t="shared" si="0"/>
        <v>12.9609375</v>
      </c>
      <c r="F21" s="44">
        <f>+HEX2DEC(CONCATENATE($K$43,$L$43))/256+HEX2DEC(S43)*HEX2DEC($M$43)/256</f>
        <v>12.9609375</v>
      </c>
      <c r="G21" s="44">
        <f t="shared" si="4"/>
        <v>3.5540000000000012</v>
      </c>
      <c r="H21" s="44"/>
      <c r="I21" s="41"/>
    </row>
    <row r="22" spans="1:25" ht="16.5" thickBot="1" x14ac:dyDescent="0.3">
      <c r="A22" s="42"/>
      <c r="B22" s="41">
        <f t="shared" si="3"/>
        <v>3.6820000000000013</v>
      </c>
      <c r="C22" s="41">
        <f>+HEX2DEC(CONCATENATE($K$10,$L$10))/256+HEX2DEC(T10)*HEX2DEC($M$10)/256</f>
        <v>14.25</v>
      </c>
      <c r="D22" s="87">
        <v>0</v>
      </c>
      <c r="E22" s="55">
        <f t="shared" si="0"/>
        <v>14.25</v>
      </c>
      <c r="F22" s="44">
        <f>+HEX2DEC(CONCATENATE($K$43,$L$43))/256+HEX2DEC(T43)*HEX2DEC($M$43)/256</f>
        <v>14.25</v>
      </c>
      <c r="G22" s="44">
        <f t="shared" si="4"/>
        <v>3.6820000000000013</v>
      </c>
      <c r="H22" s="44"/>
      <c r="I22" s="41"/>
    </row>
    <row r="23" spans="1:25" ht="16.5" thickBot="1" x14ac:dyDescent="0.3">
      <c r="A23" s="42"/>
      <c r="B23" s="41">
        <f t="shared" si="3"/>
        <v>3.8100000000000014</v>
      </c>
      <c r="C23" s="41">
        <f>+HEX2DEC(CONCATENATE($K$10,$L$10))/256+HEX2DEC(U10)*HEX2DEC($M$10)/256</f>
        <v>15.578125</v>
      </c>
      <c r="D23" s="87">
        <v>0</v>
      </c>
      <c r="E23" s="55">
        <f t="shared" si="0"/>
        <v>15.578125</v>
      </c>
      <c r="F23" s="44">
        <f>+HEX2DEC(CONCATENATE($K$43,$L$43))/256+HEX2DEC(U43)*HEX2DEC($M$43)/256</f>
        <v>15.578125</v>
      </c>
      <c r="G23" s="44">
        <f t="shared" si="4"/>
        <v>3.8100000000000014</v>
      </c>
      <c r="H23" s="44"/>
      <c r="I23" s="41"/>
      <c r="K23" s="33" t="s">
        <v>184</v>
      </c>
      <c r="L23" s="33"/>
      <c r="M23" s="33" t="s">
        <v>185</v>
      </c>
      <c r="X23" s="132" t="s">
        <v>199</v>
      </c>
    </row>
    <row r="24" spans="1:25" ht="16.5" thickBot="1" x14ac:dyDescent="0.3">
      <c r="A24" s="51"/>
      <c r="B24" s="52">
        <f t="shared" si="3"/>
        <v>3.9380000000000015</v>
      </c>
      <c r="C24" s="52">
        <f>+HEX2DEC(CONCATENATE($K$10,$L$10))/256+HEX2DEC(V10)*HEX2DEC($M$10)/256</f>
        <v>17.0234375</v>
      </c>
      <c r="D24" s="88">
        <v>0</v>
      </c>
      <c r="E24" s="72">
        <f t="shared" si="0"/>
        <v>17.0234375</v>
      </c>
      <c r="F24" s="54">
        <f>+ROUND(HEX2DEC(CONCATENATE($K$43,$L$43))/256+HEX2DEC(V43)*HEX2DEC($M$43)/256,3)</f>
        <v>17.023</v>
      </c>
      <c r="G24" s="54">
        <f t="shared" si="4"/>
        <v>3.9380000000000015</v>
      </c>
      <c r="H24" s="54"/>
      <c r="I24" s="41"/>
      <c r="J24" s="41"/>
      <c r="K24" s="46" t="s">
        <v>59</v>
      </c>
      <c r="L24" s="47"/>
      <c r="M24" s="48"/>
      <c r="N24" s="46" t="s">
        <v>60</v>
      </c>
      <c r="O24" s="49"/>
      <c r="P24" s="49"/>
      <c r="Q24" s="49"/>
      <c r="R24" s="49"/>
      <c r="S24" s="49"/>
      <c r="T24" s="49"/>
      <c r="U24" s="49"/>
      <c r="V24" s="50"/>
      <c r="X24" s="133"/>
    </row>
    <row r="25" spans="1:25" ht="16.5" thickBot="1" x14ac:dyDescent="0.3">
      <c r="A25" s="37" t="s">
        <v>67</v>
      </c>
      <c r="B25" s="38">
        <f t="shared" ref="B25" si="5">+B24</f>
        <v>3.9380000000000015</v>
      </c>
      <c r="C25" s="38">
        <f>+HEX2DEC(CONCATENATE($K$11,$L$11))/256+HEX2DEC(N11)*HEX2DEC($M$11)/256</f>
        <v>17.03125</v>
      </c>
      <c r="D25" s="89">
        <f t="shared" ref="D25:D56" si="6">+D24</f>
        <v>0</v>
      </c>
      <c r="E25" s="90">
        <f>+E24+H25</f>
        <v>17.033437500000002</v>
      </c>
      <c r="F25" s="40">
        <f>+ROUND(HEX2DEC(CONCATENATE($K$44,$L$44))/256+HEX2DEC(N44)*HEX2DEC($M$44)/256,3)</f>
        <v>17.035</v>
      </c>
      <c r="G25" s="40">
        <f t="shared" ref="G25" si="7">+G24</f>
        <v>3.9380000000000015</v>
      </c>
      <c r="H25" s="40">
        <v>1.0000000000000002E-2</v>
      </c>
      <c r="I25" s="126">
        <f>+C25-C24</f>
        <v>7.8125E-3</v>
      </c>
      <c r="K25" s="57" t="s">
        <v>61</v>
      </c>
      <c r="L25" s="58"/>
      <c r="M25" s="59" t="s">
        <v>62</v>
      </c>
      <c r="N25" s="37" t="s">
        <v>63</v>
      </c>
      <c r="O25" s="60"/>
      <c r="P25" s="60"/>
      <c r="Q25" s="60"/>
      <c r="R25" s="60"/>
      <c r="S25" s="60"/>
      <c r="T25" s="60"/>
      <c r="U25" s="60"/>
      <c r="V25" s="61"/>
      <c r="X25" s="134"/>
    </row>
    <row r="26" spans="1:25" ht="15.75" x14ac:dyDescent="0.25">
      <c r="A26" s="42"/>
      <c r="B26" s="41">
        <f t="shared" ref="B26:B78" si="8">0.128+B25</f>
        <v>4.0660000000000016</v>
      </c>
      <c r="C26" s="41">
        <f>+HEX2DEC(CONCATENATE($K$11,$L$11))/256+HEX2DEC(O11)*HEX2DEC($M$11)/256</f>
        <v>18.5546875</v>
      </c>
      <c r="D26" s="87">
        <v>0</v>
      </c>
      <c r="E26" s="55">
        <f t="shared" si="0"/>
        <v>18.5546875</v>
      </c>
      <c r="F26" s="44">
        <f>+HEX2DEC(CONCATENATE($K$44,$L$44))/256+HEX2DEC(O44)*HEX2DEC($M$44)/256</f>
        <v>18.55859375</v>
      </c>
      <c r="G26" s="44">
        <f t="shared" ref="G26:G89" si="9">0.128+G25</f>
        <v>4.0660000000000016</v>
      </c>
      <c r="H26" s="44"/>
      <c r="I26" s="41"/>
      <c r="J26" s="40" t="s">
        <v>82</v>
      </c>
      <c r="K26" s="62">
        <f>+IF(ROUND(E7*256,0)&gt;65535,65535,ROUND(E7*256,0))</f>
        <v>767</v>
      </c>
      <c r="L26" s="63"/>
      <c r="M26" s="63">
        <f>+ROUNDUP((E15-E7)*$X$26,0)</f>
        <v>6</v>
      </c>
      <c r="N26" s="64">
        <f>+ROUND(($E7-$K26/256)*256/$M26,0)</f>
        <v>0</v>
      </c>
      <c r="O26" s="65">
        <f>+ROUND(($E8-$K26/256)*256/$M26,0)</f>
        <v>18</v>
      </c>
      <c r="P26" s="65">
        <f>+ROUND(($E9-$K26/256)*256/$M26,0)</f>
        <v>39</v>
      </c>
      <c r="Q26" s="65">
        <f>+ROUND(($E10-$K26/256)*256/$M26,0)</f>
        <v>62</v>
      </c>
      <c r="R26" s="65">
        <f>+ROUND(($E11-$K26/256)*256/$M26,0)</f>
        <v>88</v>
      </c>
      <c r="S26" s="65">
        <f>+ROUND(($E12-$K26/256)*256/$M26,0)</f>
        <v>116</v>
      </c>
      <c r="T26" s="65">
        <f>+ROUND(($E13-$K26/256)*256/$M26,0)</f>
        <v>146</v>
      </c>
      <c r="U26" s="65">
        <f>+ROUND(($E14-$K26/256)*256/$M26,0)</f>
        <v>179</v>
      </c>
      <c r="V26" s="66">
        <f>+ROUND(($E15-$K26/256)*256/$M26,0)</f>
        <v>213</v>
      </c>
      <c r="X26" s="127">
        <v>1.002</v>
      </c>
    </row>
    <row r="27" spans="1:25" ht="15.75" x14ac:dyDescent="0.25">
      <c r="A27" s="42"/>
      <c r="B27" s="41">
        <f t="shared" si="8"/>
        <v>4.1940000000000017</v>
      </c>
      <c r="C27" s="41">
        <f>+HEX2DEC(CONCATENATE($K$11,$L$11))/256+HEX2DEC(P11)*HEX2DEC($M$11)/256</f>
        <v>20.13671875</v>
      </c>
      <c r="D27" s="87">
        <v>0</v>
      </c>
      <c r="E27" s="55">
        <f t="shared" si="0"/>
        <v>20.13671875</v>
      </c>
      <c r="F27" s="44">
        <f>+HEX2DEC(CONCATENATE($K$44,$L$44))/256+HEX2DEC(P44)*HEX2DEC($M$44)/256</f>
        <v>20.140625</v>
      </c>
      <c r="G27" s="44">
        <f t="shared" si="9"/>
        <v>4.1940000000000017</v>
      </c>
      <c r="H27" s="44"/>
      <c r="I27" s="41"/>
      <c r="J27" s="44" t="s">
        <v>83</v>
      </c>
      <c r="K27" s="67">
        <f>+IF(ROUND(E16*256,0)&gt;65535,65535,ROUND(E16*256,0))</f>
        <v>2048</v>
      </c>
      <c r="L27" s="68"/>
      <c r="M27" s="68">
        <f>+ROUNDUP((E24-E16)*$X27,0)</f>
        <v>10</v>
      </c>
      <c r="N27" s="69">
        <f>+ROUND(($E16-$K27/256)*256/$M27,0)</f>
        <v>0</v>
      </c>
      <c r="O27" s="70">
        <f>+ROUND(($E17-$K27/256)*256/$M27,0)</f>
        <v>22</v>
      </c>
      <c r="P27" s="70">
        <f>+ROUND(($E18-$K27/256)*256/$M27,0)</f>
        <v>45</v>
      </c>
      <c r="Q27" s="70">
        <f>+ROUND(($E19-$K27/256)*256/$M27,0)</f>
        <v>70</v>
      </c>
      <c r="R27" s="70">
        <f>+ROUND(($E20-$K27/256)*256/$M27,0)</f>
        <v>98</v>
      </c>
      <c r="S27" s="70">
        <f>+ROUND(($E21-$K27/256)*256/$M27,0)</f>
        <v>127</v>
      </c>
      <c r="T27" s="70">
        <f>+ROUND(($E22-$K27/256)*256/$M27,0)</f>
        <v>160</v>
      </c>
      <c r="U27" s="70">
        <f>+ROUND(($E23-$K27/256)*256/$M27,0)</f>
        <v>194</v>
      </c>
      <c r="V27" s="71">
        <f>+ROUND(($E24-$K27/256)*256/$M27,0)</f>
        <v>231</v>
      </c>
      <c r="X27" s="128">
        <v>1</v>
      </c>
    </row>
    <row r="28" spans="1:25" ht="15.75" x14ac:dyDescent="0.25">
      <c r="A28" s="42"/>
      <c r="B28" s="41">
        <f t="shared" si="8"/>
        <v>4.3220000000000018</v>
      </c>
      <c r="C28" s="41">
        <f>+HEX2DEC(CONCATENATE($K$11,$L$11))/256+HEX2DEC(Q11)*HEX2DEC($M$11)/256</f>
        <v>21.89453125</v>
      </c>
      <c r="D28" s="87">
        <v>0</v>
      </c>
      <c r="E28" s="55">
        <f t="shared" si="0"/>
        <v>21.89453125</v>
      </c>
      <c r="F28" s="44">
        <f>+HEX2DEC(CONCATENATE($K$44,$L$44))/256+HEX2DEC(Q44)*HEX2DEC($M$44)/256</f>
        <v>21.8984375</v>
      </c>
      <c r="G28" s="44">
        <f t="shared" si="9"/>
        <v>4.3220000000000018</v>
      </c>
      <c r="H28" s="44"/>
      <c r="I28" s="41"/>
      <c r="J28" s="44" t="s">
        <v>84</v>
      </c>
      <c r="K28" s="67">
        <f>+IF(ROUND(E25*256,0)&gt;65535,65535,ROUND(E25*256,0))</f>
        <v>4361</v>
      </c>
      <c r="L28" s="68"/>
      <c r="M28" s="68">
        <f>+ROUNDUP((E33-E25)*$X$28,0)</f>
        <v>15</v>
      </c>
      <c r="N28" s="69">
        <f>+ROUND(($E25-$K28/256)*256/$M28,0)</f>
        <v>0</v>
      </c>
      <c r="O28" s="70">
        <f>+ROUND(($E26-$K28/256)*256/$M28,0)</f>
        <v>26</v>
      </c>
      <c r="P28" s="70">
        <f>+ROUND(($E27-$K28/256)*256/$M28,0)</f>
        <v>53</v>
      </c>
      <c r="Q28" s="70">
        <f>+ROUND(($E28-$K28/256)*256/$M28,0)</f>
        <v>83</v>
      </c>
      <c r="R28" s="70">
        <f>+ROUND(($E29-$K28/256)*256/$M28,0)</f>
        <v>114</v>
      </c>
      <c r="S28" s="70">
        <f>+ROUND(($E30-$K28/256)*256/$M28,0)</f>
        <v>146</v>
      </c>
      <c r="T28" s="70">
        <f>+ROUND(($E31-$K28/256)*256/$M28,0)</f>
        <v>180</v>
      </c>
      <c r="U28" s="70">
        <f>+ROUND(($E32-$K28/256)*256/$M28,0)</f>
        <v>216</v>
      </c>
      <c r="V28" s="71">
        <f>+ROUND(($E33-$K28/256)*256/$M28,0)</f>
        <v>253</v>
      </c>
      <c r="X28" s="128">
        <v>1</v>
      </c>
    </row>
    <row r="29" spans="1:25" ht="15.75" x14ac:dyDescent="0.25">
      <c r="A29" s="42"/>
      <c r="B29" s="41">
        <f t="shared" si="8"/>
        <v>4.450000000000002</v>
      </c>
      <c r="C29" s="41">
        <f>+HEX2DEC(CONCATENATE($K$11,$L$11))/256+HEX2DEC(R11)*HEX2DEC($M$11)/256</f>
        <v>23.7109375</v>
      </c>
      <c r="D29" s="87">
        <v>0</v>
      </c>
      <c r="E29" s="55">
        <f t="shared" si="0"/>
        <v>23.7109375</v>
      </c>
      <c r="F29" s="44">
        <f>+HEX2DEC(CONCATENATE($K$44,$L$44))/256+HEX2DEC(R44)*HEX2DEC($M$44)/256</f>
        <v>23.71484375</v>
      </c>
      <c r="G29" s="44">
        <f t="shared" si="9"/>
        <v>4.450000000000002</v>
      </c>
      <c r="H29" s="44"/>
      <c r="I29" s="41"/>
      <c r="J29" s="44" t="s">
        <v>85</v>
      </c>
      <c r="K29" s="67">
        <f>+IF(ROUND(E34*256,0)&gt;65535,65535,ROUND(E34*256,0))</f>
        <v>8159</v>
      </c>
      <c r="L29" s="68"/>
      <c r="M29" s="68">
        <f>+ROUNDUP((E42-E34)*$X$29,0)</f>
        <v>22</v>
      </c>
      <c r="N29" s="69">
        <f>+ROUND(($E34-$K29/256)*256/$M29,0)</f>
        <v>0</v>
      </c>
      <c r="O29" s="70">
        <f>+ROUND(($E35-$K29/256)*256/$M29,0)</f>
        <v>26</v>
      </c>
      <c r="P29" s="70">
        <f>+ROUND(($E36-$K29/256)*256/$M29,0)</f>
        <v>54</v>
      </c>
      <c r="Q29" s="70">
        <f>+ROUND(($E37-$K29/256)*256/$M29,0)</f>
        <v>83</v>
      </c>
      <c r="R29" s="70">
        <f>+ROUND(($E38-$K29/256)*256/$M29,0)</f>
        <v>114</v>
      </c>
      <c r="S29" s="70">
        <f>+ROUND(($E39-$K29/256)*256/$M29,0)</f>
        <v>146</v>
      </c>
      <c r="T29" s="70">
        <f>+ROUND(($E40-$K29/256)*256/$M29,0)</f>
        <v>180</v>
      </c>
      <c r="U29" s="70">
        <f>+ROUND(($E41-$K29/256)*256/$M29,0)</f>
        <v>215</v>
      </c>
      <c r="V29" s="71">
        <f>+ROUND(($E42-$K29/256)*256/$M29,0)</f>
        <v>252</v>
      </c>
      <c r="X29" s="128">
        <v>1</v>
      </c>
    </row>
    <row r="30" spans="1:25" ht="15.75" x14ac:dyDescent="0.25">
      <c r="A30" s="42"/>
      <c r="B30" s="41">
        <f t="shared" si="8"/>
        <v>4.5780000000000021</v>
      </c>
      <c r="C30" s="41">
        <f>+HEX2DEC(CONCATENATE($K$11,$L$11))/256+HEX2DEC(S11)*HEX2DEC($M$11)/256</f>
        <v>25.5859375</v>
      </c>
      <c r="D30" s="87">
        <v>0</v>
      </c>
      <c r="E30" s="55">
        <f t="shared" si="0"/>
        <v>25.5859375</v>
      </c>
      <c r="F30" s="44">
        <f>+HEX2DEC(CONCATENATE($K$44,$L$44))/256+HEX2DEC(S44)*HEX2DEC($M$44)/256</f>
        <v>25.58984375</v>
      </c>
      <c r="G30" s="44">
        <f t="shared" si="9"/>
        <v>4.5780000000000021</v>
      </c>
      <c r="H30" s="44"/>
      <c r="I30" s="41"/>
      <c r="J30" s="44" t="s">
        <v>86</v>
      </c>
      <c r="K30" s="67">
        <f>+IF(ROUND(E43*256,0)&gt;65535,65535,ROUND(E43*256,0))</f>
        <v>13713</v>
      </c>
      <c r="L30" s="68"/>
      <c r="M30" s="68">
        <f>+ROUNDUP((E51-E43)*$X$30,0)</f>
        <v>32</v>
      </c>
      <c r="N30" s="69">
        <f>+ROUND(($E43-$K30/256)*256/$M30,0)</f>
        <v>0</v>
      </c>
      <c r="O30" s="70">
        <f>+ROUND(($E44-$K30/256)*256/$M30,0)</f>
        <v>26</v>
      </c>
      <c r="P30" s="70">
        <f>+ROUND(($E45-$K30/256)*256/$M30,0)</f>
        <v>55</v>
      </c>
      <c r="Q30" s="70">
        <f>+ROUND(($E46-$K30/256)*256/$M30,0)</f>
        <v>85</v>
      </c>
      <c r="R30" s="70">
        <f>+ROUND(($E47-$K30/256)*256/$M30,0)</f>
        <v>116</v>
      </c>
      <c r="S30" s="70">
        <f>+ROUND(($E48-$K30/256)*256/$M30,0)</f>
        <v>148</v>
      </c>
      <c r="T30" s="70">
        <f>+ROUND(($E49-$K30/256)*256/$M30,0)</f>
        <v>182</v>
      </c>
      <c r="U30" s="70">
        <f>+ROUND(($E50-$K30/256)*256/$M30,0)</f>
        <v>216</v>
      </c>
      <c r="V30" s="71">
        <f>+ROUND(($E51-$K30/256)*256/$M30,0)</f>
        <v>252</v>
      </c>
      <c r="X30" s="128">
        <v>1</v>
      </c>
    </row>
    <row r="31" spans="1:25" ht="15.75" x14ac:dyDescent="0.25">
      <c r="A31" s="42"/>
      <c r="B31" s="41">
        <f t="shared" si="8"/>
        <v>4.7060000000000022</v>
      </c>
      <c r="C31" s="41">
        <f>+HEX2DEC(CONCATENATE($K$11,$L$11))/256+HEX2DEC(T11)*HEX2DEC($M$11)/256</f>
        <v>27.578125</v>
      </c>
      <c r="D31" s="87">
        <v>0</v>
      </c>
      <c r="E31" s="55">
        <f t="shared" si="0"/>
        <v>27.578125</v>
      </c>
      <c r="F31" s="44">
        <f>+HEX2DEC(CONCATENATE($K$44,$L$44))/256+HEX2DEC(T44)*HEX2DEC($M$44)/256</f>
        <v>27.58203125</v>
      </c>
      <c r="G31" s="44">
        <f t="shared" si="9"/>
        <v>4.7060000000000022</v>
      </c>
      <c r="H31" s="44"/>
      <c r="I31" s="41"/>
      <c r="J31" s="44" t="s">
        <v>87</v>
      </c>
      <c r="K31" s="67">
        <f>+IF(ROUND(E52*256,0)&gt;65535,65535,ROUND(E52*256,0))</f>
        <v>21781</v>
      </c>
      <c r="L31" s="68"/>
      <c r="M31" s="68">
        <f>+ROUNDUP((E60-E52)*$X$31,0)</f>
        <v>42</v>
      </c>
      <c r="N31" s="69">
        <f>+ROUND(($E52-$K31/256)*256/$M31,0)</f>
        <v>0</v>
      </c>
      <c r="O31" s="70">
        <f>+ROUND(($E53-$K31/256)*256/$M31,0)</f>
        <v>29</v>
      </c>
      <c r="P31" s="70">
        <f>+ROUND(($E54-$K31/256)*256/$M31,0)</f>
        <v>58</v>
      </c>
      <c r="Q31" s="70">
        <f>+ROUND(($E55-$K31/256)*256/$M31,0)</f>
        <v>88</v>
      </c>
      <c r="R31" s="70">
        <f>+ROUND(($E56-$K31/256)*256/$M31,0)</f>
        <v>119</v>
      </c>
      <c r="S31" s="70">
        <f>+ROUND(($E57-$K31/256)*256/$M31,0)</f>
        <v>151</v>
      </c>
      <c r="T31" s="70">
        <f>+ROUND(($E58-$K31/256)*256/$M31,0)</f>
        <v>185</v>
      </c>
      <c r="U31" s="70">
        <f>+ROUND(($E59-$K31/256)*256/$M31,0)</f>
        <v>219</v>
      </c>
      <c r="V31" s="71">
        <f>+ROUND(($E60-$K31/256)*256/$M31,0)</f>
        <v>254</v>
      </c>
      <c r="X31" s="128">
        <v>1</v>
      </c>
    </row>
    <row r="32" spans="1:25" ht="15.75" x14ac:dyDescent="0.25">
      <c r="A32" s="42"/>
      <c r="B32" s="41">
        <f t="shared" si="8"/>
        <v>4.8340000000000023</v>
      </c>
      <c r="C32" s="41">
        <f>+HEX2DEC(CONCATENATE($K$11,$L$11))/256+HEX2DEC(U11)*HEX2DEC($M$11)/256</f>
        <v>29.6875</v>
      </c>
      <c r="D32" s="87">
        <v>0</v>
      </c>
      <c r="E32" s="55">
        <f t="shared" si="0"/>
        <v>29.6875</v>
      </c>
      <c r="F32" s="44">
        <f>+HEX2DEC(CONCATENATE($K$44,$L$44))/256+HEX2DEC(U44)*HEX2DEC($M$44)/256</f>
        <v>29.69140625</v>
      </c>
      <c r="G32" s="44">
        <f t="shared" si="9"/>
        <v>4.8340000000000023</v>
      </c>
      <c r="H32" s="44"/>
      <c r="I32" s="41"/>
      <c r="J32" s="44" t="s">
        <v>88</v>
      </c>
      <c r="K32" s="67">
        <f>+IF(ROUND(E61*256,0)&gt;65535,65535,ROUND(E61*256,0))</f>
        <v>32452</v>
      </c>
      <c r="L32" s="68"/>
      <c r="M32" s="68">
        <f>+ROUNDUP((E69-E61)*$X$32,0)</f>
        <v>53</v>
      </c>
      <c r="N32" s="69">
        <f>+ROUND(($E61-$K32/256)*256/$M32,0)</f>
        <v>0</v>
      </c>
      <c r="O32" s="70">
        <f>+ROUND(($E62-$K32/256)*256/$M32,0)</f>
        <v>28</v>
      </c>
      <c r="P32" s="70">
        <f>+ROUND(($E63-$K32/256)*256/$M32,0)</f>
        <v>58</v>
      </c>
      <c r="Q32" s="70">
        <f>+ROUND(($E64-$K32/256)*256/$M32,0)</f>
        <v>88</v>
      </c>
      <c r="R32" s="70">
        <f>+ROUND(($E65-$K32/256)*256/$M32,0)</f>
        <v>120</v>
      </c>
      <c r="S32" s="70">
        <f>+ROUND(($E66-$K32/256)*256/$M32,0)</f>
        <v>152</v>
      </c>
      <c r="T32" s="70">
        <f>+ROUND(($E67-$K32/256)*256/$M32,0)</f>
        <v>184</v>
      </c>
      <c r="U32" s="70">
        <f>+ROUND(($E68-$K32/256)*256/$M32,0)</f>
        <v>218</v>
      </c>
      <c r="V32" s="71">
        <f>+ROUND(($E69-$K32/256)*256/$M32,0)</f>
        <v>253</v>
      </c>
      <c r="X32" s="128">
        <v>1</v>
      </c>
    </row>
    <row r="33" spans="1:24" ht="16.5" thickBot="1" x14ac:dyDescent="0.3">
      <c r="A33" s="51"/>
      <c r="B33" s="52">
        <f t="shared" si="8"/>
        <v>4.9620000000000024</v>
      </c>
      <c r="C33" s="52">
        <f>+HEX2DEC(CONCATENATE($K$11,$L$11))/256+HEX2DEC(V11)*HEX2DEC($M$11)/256</f>
        <v>31.85546875</v>
      </c>
      <c r="D33" s="88">
        <v>0</v>
      </c>
      <c r="E33" s="72">
        <f t="shared" si="0"/>
        <v>31.85546875</v>
      </c>
      <c r="F33" s="54">
        <f>+ROUND(HEX2DEC(CONCATENATE($K$44,$L$44))/256+HEX2DEC(V44)*HEX2DEC($M$44)/256,3)</f>
        <v>31.859000000000002</v>
      </c>
      <c r="G33" s="54">
        <f t="shared" si="9"/>
        <v>4.9620000000000024</v>
      </c>
      <c r="H33" s="54"/>
      <c r="I33" s="41"/>
      <c r="J33" s="44" t="s">
        <v>89</v>
      </c>
      <c r="K33" s="67">
        <f>+IF(ROUND(E70*256,0)&gt;65535,65535,ROUND(E70*256,0))</f>
        <v>45880</v>
      </c>
      <c r="L33" s="68"/>
      <c r="M33" s="68">
        <f>+ROUNDUP((E78-E70)*$X$33,0)</f>
        <v>67</v>
      </c>
      <c r="N33" s="69">
        <f>+ROUND(($E70-$K33/256)*256/$M33,0)</f>
        <v>0</v>
      </c>
      <c r="O33" s="70">
        <f>+ROUND(($E71-$K33/256)*256/$M33,0)</f>
        <v>28</v>
      </c>
      <c r="P33" s="70">
        <f>+ROUND(($E72-$K33/256)*256/$M33,0)</f>
        <v>57</v>
      </c>
      <c r="Q33" s="70">
        <f>+ROUND(($E73-$K33/256)*256/$M33,0)</f>
        <v>87</v>
      </c>
      <c r="R33" s="70">
        <f>+ROUND(($E74-$K33/256)*256/$M33,0)</f>
        <v>118</v>
      </c>
      <c r="S33" s="70">
        <f>+ROUND(($E75-$K33/256)*256/$M33,0)</f>
        <v>150</v>
      </c>
      <c r="T33" s="70">
        <f>+ROUND(($E76-$K33/256)*256/$M33,0)</f>
        <v>184</v>
      </c>
      <c r="U33" s="70">
        <f>+ROUND(($E77-$K33/256)*256/$M33,0)</f>
        <v>218</v>
      </c>
      <c r="V33" s="71">
        <f>+ROUND(($E78-$K33/256)*256/$M33,0)</f>
        <v>254</v>
      </c>
      <c r="X33" s="128">
        <v>1</v>
      </c>
    </row>
    <row r="34" spans="1:24" ht="15.75" x14ac:dyDescent="0.25">
      <c r="A34" s="37" t="s">
        <v>68</v>
      </c>
      <c r="B34" s="38">
        <f t="shared" ref="B34" si="10">+B33</f>
        <v>4.9620000000000024</v>
      </c>
      <c r="C34" s="38">
        <f>+HEX2DEC(CONCATENATE($K$12,$L$12))/256+HEX2DEC(N12)*HEX2DEC($M$12)/256</f>
        <v>31.91015625</v>
      </c>
      <c r="D34" s="89">
        <f t="shared" ref="D34:D65" si="11">+D33</f>
        <v>0</v>
      </c>
      <c r="E34" s="90">
        <f>+E33+H34</f>
        <v>31.869468749999999</v>
      </c>
      <c r="F34" s="40">
        <f>+ROUND(HEX2DEC(CONCATENATE($K$45,$L$45))/256+HEX2DEC(N45)*HEX2DEC($M$45)/256,3)</f>
        <v>31.870999999999999</v>
      </c>
      <c r="G34" s="40">
        <f t="shared" ref="G34" si="12">+G33</f>
        <v>4.9620000000000024</v>
      </c>
      <c r="H34" s="40">
        <v>1.4000000000000005E-2</v>
      </c>
      <c r="I34" s="41"/>
      <c r="J34" s="44" t="s">
        <v>178</v>
      </c>
      <c r="K34" s="67">
        <f>+IF(ROUND(E79*256,0)&gt;65535,65535,ROUND(E79*256,0))</f>
        <v>62920</v>
      </c>
      <c r="L34" s="68"/>
      <c r="M34" s="105">
        <f>+ROUNDUP((E87-E79)*$X$34,0)</f>
        <v>72</v>
      </c>
      <c r="N34" s="70">
        <f>+ROUND(($E79-$K34/256)*256/$M34,0)</f>
        <v>0</v>
      </c>
      <c r="O34" s="70">
        <f>+ROUND(($E80-$K34/256)*256/$M34,0)</f>
        <v>29</v>
      </c>
      <c r="P34" s="70">
        <f>+ROUND(($E81-$K34/256)*256/$M34,0)</f>
        <v>62</v>
      </c>
      <c r="Q34" s="70">
        <f>+ROUND(($E82-$K34/256)*256/$M34,0)</f>
        <v>93</v>
      </c>
      <c r="R34" s="70">
        <f>+ROUND(($E83-$K34/256)*256/$M34,0)</f>
        <v>126</v>
      </c>
      <c r="S34" s="70">
        <f>+ROUND(($E84-$K34/256)*256/$M34,0)</f>
        <v>157</v>
      </c>
      <c r="T34" s="70">
        <f>+ROUND(($E85-$K34/256)*256/$M34,0)</f>
        <v>190</v>
      </c>
      <c r="U34" s="70">
        <f>+ROUND(($E86-$K34/256)*256/$M34,0)</f>
        <v>220</v>
      </c>
      <c r="V34" s="71">
        <f>+ROUND(($E87-$K34/256)*256/$M34,0)</f>
        <v>253</v>
      </c>
      <c r="X34" s="128">
        <v>1</v>
      </c>
    </row>
    <row r="35" spans="1:24" ht="15.75" x14ac:dyDescent="0.25">
      <c r="A35" s="42"/>
      <c r="B35" s="41">
        <f t="shared" ref="B35" si="13">0.128+B34</f>
        <v>5.0900000000000025</v>
      </c>
      <c r="C35" s="41">
        <f>+HEX2DEC(CONCATENATE($K$12,$L$12))/256+HEX2DEC(O12)*HEX2DEC($M$12)/256</f>
        <v>34.14453125</v>
      </c>
      <c r="D35" s="87">
        <v>0</v>
      </c>
      <c r="E35" s="55">
        <f t="shared" si="0"/>
        <v>34.14453125</v>
      </c>
      <c r="F35" s="44">
        <f>+HEX2DEC(CONCATENATE($K$45,$L$45))/256+HEX2DEC(O45)*HEX2DEC($M$45)/256</f>
        <v>34.10546875</v>
      </c>
      <c r="G35" s="44">
        <f t="shared" ref="G35" si="14">0.128+G34</f>
        <v>5.0900000000000025</v>
      </c>
      <c r="H35" s="44"/>
      <c r="I35" s="41"/>
      <c r="J35" s="44" t="s">
        <v>179</v>
      </c>
      <c r="K35" s="67">
        <f>+IF(ROUND(E88*256,0)&gt;65535,65535,ROUND(E88*256,0))</f>
        <v>65535</v>
      </c>
      <c r="L35" s="68"/>
      <c r="M35" s="105">
        <f>+IF(E96=510,255,ROUNDUP((E96-E88)*$X$35,0))</f>
        <v>134</v>
      </c>
      <c r="N35" s="70">
        <f>+ROUND(($E88-$K35/256)*256/$M35,0)</f>
        <v>117</v>
      </c>
      <c r="O35" s="70">
        <f>+ROUND(($E89-$K35/256)*256/$M35,0)</f>
        <v>133</v>
      </c>
      <c r="P35" s="70">
        <f>+ROUND(($E90-$K35/256)*256/$M35,0)</f>
        <v>150</v>
      </c>
      <c r="Q35" s="70">
        <f>+ROUND(($E91-$K35/256)*256/$M35,0)</f>
        <v>167</v>
      </c>
      <c r="R35" s="70">
        <f>+ROUND(($E92-$K35/256)*256/$M35,0)</f>
        <v>185</v>
      </c>
      <c r="S35" s="70">
        <f>+ROUND(($E93-$K35/256)*256/$M35,0)</f>
        <v>202</v>
      </c>
      <c r="T35" s="70">
        <f>+ROUND(($E94-$K35/256)*256/$M35,0)</f>
        <v>219</v>
      </c>
      <c r="U35" s="70">
        <f>+ROUND(($E95-$K35/256)*256/$M35,0)</f>
        <v>236</v>
      </c>
      <c r="V35" s="71">
        <f>+ROUND(($E96-$K35/256)*256/$M35,0)</f>
        <v>255</v>
      </c>
      <c r="X35" s="128">
        <v>1.8380000000000007</v>
      </c>
    </row>
    <row r="36" spans="1:24" ht="15.75" x14ac:dyDescent="0.25">
      <c r="A36" s="42"/>
      <c r="B36" s="41">
        <f t="shared" si="8"/>
        <v>5.2180000000000026</v>
      </c>
      <c r="C36" s="41">
        <f>+HEX2DEC(CONCATENATE($K$12,$L$12))/256+HEX2DEC(P12)*HEX2DEC($M$12)/256</f>
        <v>36.55078125</v>
      </c>
      <c r="D36" s="87">
        <v>0</v>
      </c>
      <c r="E36" s="55">
        <f t="shared" si="0"/>
        <v>36.55078125</v>
      </c>
      <c r="F36" s="44">
        <f>+HEX2DEC(CONCATENATE($K$45,$L$45))/256+HEX2DEC(P45)*HEX2DEC($M$45)/256</f>
        <v>36.51171875</v>
      </c>
      <c r="G36" s="44">
        <f t="shared" si="9"/>
        <v>5.2180000000000026</v>
      </c>
      <c r="H36" s="44"/>
      <c r="I36" s="41"/>
      <c r="J36" s="44" t="s">
        <v>183</v>
      </c>
      <c r="K36" s="67">
        <f>+IF(ROUND(E97*256,0)&gt;65535,65535,ROUND(E97*256,0))</f>
        <v>65535</v>
      </c>
      <c r="L36" s="68"/>
      <c r="M36" s="105">
        <f>+IF(E105=510,255,ROUNDUP((E105-E97)*$X$36,0))</f>
        <v>206</v>
      </c>
      <c r="N36" s="69">
        <f>+ROUND(($E97-$K36/256)*256/$M36,0)</f>
        <v>166</v>
      </c>
      <c r="O36" s="70">
        <f>+ROUND(($E98-$K36/256)*256/$M36,0)</f>
        <v>177</v>
      </c>
      <c r="P36" s="70">
        <f>+ROUND(($E99-$K36/256)*256/$M36,0)</f>
        <v>188</v>
      </c>
      <c r="Q36" s="70">
        <f>+ROUND(($E100-$K36/256)*256/$M36,0)</f>
        <v>199</v>
      </c>
      <c r="R36" s="70">
        <f>+ROUND(($E101-$K36/256)*256/$M36,0)</f>
        <v>210</v>
      </c>
      <c r="S36" s="70">
        <f>+ROUND(($E102-$K36/256)*256/$M36,0)</f>
        <v>222</v>
      </c>
      <c r="T36" s="70">
        <f>+ROUND(($E103-$K36/256)*256/$M36,0)</f>
        <v>233</v>
      </c>
      <c r="U36" s="70">
        <f>+ROUND(($E104-$K36/256)*256/$M36,0)</f>
        <v>244</v>
      </c>
      <c r="V36" s="71">
        <f>+ROUND(($E105-$K36/256)*256/$M36,0)</f>
        <v>255</v>
      </c>
      <c r="X36" s="128">
        <v>2.8599999999999062</v>
      </c>
    </row>
    <row r="37" spans="1:24" ht="16.5" thickBot="1" x14ac:dyDescent="0.3">
      <c r="A37" s="42"/>
      <c r="B37" s="41">
        <f t="shared" si="8"/>
        <v>5.3460000000000027</v>
      </c>
      <c r="C37" s="41">
        <f>+HEX2DEC(CONCATENATE($K$12,$L$12))/256+HEX2DEC(Q12)*HEX2DEC($M$12)/256</f>
        <v>39.04296875</v>
      </c>
      <c r="D37" s="87">
        <v>0</v>
      </c>
      <c r="E37" s="55">
        <f t="shared" si="0"/>
        <v>39.04296875</v>
      </c>
      <c r="F37" s="44">
        <f>+HEX2DEC(CONCATENATE($K$45,$L$45))/256+HEX2DEC(Q45)*HEX2DEC($M$45)/256</f>
        <v>39.00390625</v>
      </c>
      <c r="G37" s="44">
        <f t="shared" si="9"/>
        <v>5.3460000000000027</v>
      </c>
      <c r="H37" s="44"/>
      <c r="I37" s="41"/>
      <c r="J37" s="54" t="s">
        <v>186</v>
      </c>
      <c r="K37" s="73">
        <f>+IF(ROUND(E106*256,0)&gt;65535,65535,ROUND(E106*256,0))</f>
        <v>65535</v>
      </c>
      <c r="L37" s="74"/>
      <c r="M37" s="106">
        <f>+IF(E114=510,255,ROUNDUP((E114-E106)*$X$37,0))</f>
        <v>255</v>
      </c>
      <c r="N37" s="115">
        <f>+ROUND(($E106-$K37/256)*256/$M37,0)</f>
        <v>207</v>
      </c>
      <c r="O37" s="75">
        <f>+ROUND(($E107-$K37/256)*256/$M37,0)</f>
        <v>215</v>
      </c>
      <c r="P37" s="75">
        <f>+ROUND(($E108-$K37/256)*256/$M37,0)</f>
        <v>224</v>
      </c>
      <c r="Q37" s="75">
        <f>+ROUND(($E109-$K37/256)*256/$M37,0)</f>
        <v>233</v>
      </c>
      <c r="R37" s="75">
        <f>+ROUND(($E110-$K37/256)*256/$M37,0)</f>
        <v>237</v>
      </c>
      <c r="S37" s="75">
        <f>+ROUND(($E111-$K37/256)*256/$M37,0)</f>
        <v>240</v>
      </c>
      <c r="T37" s="75">
        <f>+ROUND(($E112-$K37/256)*256/$M37,0)</f>
        <v>245</v>
      </c>
      <c r="U37" s="75">
        <f>+ROUND(($E113-$K37/256)*256/$M37,0)</f>
        <v>251</v>
      </c>
      <c r="V37" s="76">
        <f>+ROUND(($E114-$K37/256)*256/$M37,0)</f>
        <v>255</v>
      </c>
      <c r="X37" s="129">
        <v>1</v>
      </c>
    </row>
    <row r="38" spans="1:24" ht="15.75" x14ac:dyDescent="0.25">
      <c r="A38" s="42"/>
      <c r="B38" s="41">
        <f t="shared" si="8"/>
        <v>5.4740000000000029</v>
      </c>
      <c r="C38" s="41">
        <f>+HEX2DEC(CONCATENATE($K$12,$L$12))/256+HEX2DEC(R12)*HEX2DEC($M$12)/256</f>
        <v>41.70703125</v>
      </c>
      <c r="D38" s="87">
        <v>0</v>
      </c>
      <c r="E38" s="55">
        <f t="shared" si="0"/>
        <v>41.70703125</v>
      </c>
      <c r="F38" s="44">
        <f>+HEX2DEC(CONCATENATE($K$45,$L$45))/256+HEX2DEC(R45)*HEX2DEC($M$45)/256</f>
        <v>41.66796875</v>
      </c>
      <c r="G38" s="44">
        <f t="shared" si="9"/>
        <v>5.4740000000000029</v>
      </c>
      <c r="H38" s="44"/>
      <c r="I38" s="41"/>
      <c r="K38" s="29">
        <f>+HEX2DEC("f4aa")</f>
        <v>62634</v>
      </c>
      <c r="L38" s="33"/>
      <c r="X38" s="29" t="s">
        <v>197</v>
      </c>
    </row>
    <row r="39" spans="1:24" ht="15.75" x14ac:dyDescent="0.25">
      <c r="A39" s="42"/>
      <c r="B39" s="41">
        <f t="shared" si="8"/>
        <v>5.602000000000003</v>
      </c>
      <c r="C39" s="41">
        <f>+HEX2DEC(CONCATENATE($K$12,$L$12))/256+HEX2DEC(S12)*HEX2DEC($M$12)/256</f>
        <v>44.45703125</v>
      </c>
      <c r="D39" s="87">
        <v>0</v>
      </c>
      <c r="E39" s="55">
        <f t="shared" si="0"/>
        <v>44.45703125</v>
      </c>
      <c r="F39" s="44">
        <f>+HEX2DEC(CONCATENATE($K$45,$L$45))/256+HEX2DEC(S45)*HEX2DEC($M$45)/256</f>
        <v>44.41796875</v>
      </c>
      <c r="G39" s="44">
        <f t="shared" si="9"/>
        <v>5.602000000000003</v>
      </c>
      <c r="H39" s="44"/>
      <c r="I39" s="41"/>
    </row>
    <row r="40" spans="1:24" ht="16.5" thickBot="1" x14ac:dyDescent="0.3">
      <c r="A40" s="42"/>
      <c r="B40" s="41">
        <f t="shared" si="8"/>
        <v>5.7300000000000031</v>
      </c>
      <c r="C40" s="41">
        <f>+HEX2DEC(CONCATENATE($K$12,$L$12))/256+HEX2DEC(T12)*HEX2DEC($M$12)/256</f>
        <v>47.37890625</v>
      </c>
      <c r="D40" s="87">
        <v>0</v>
      </c>
      <c r="E40" s="55">
        <f t="shared" si="0"/>
        <v>47.37890625</v>
      </c>
      <c r="F40" s="44">
        <f>+HEX2DEC(CONCATENATE($K$45,$L$45))/256+HEX2DEC(T45)*HEX2DEC($M$45)/256</f>
        <v>47.33984375</v>
      </c>
      <c r="G40" s="44">
        <f t="shared" si="9"/>
        <v>5.7300000000000031</v>
      </c>
      <c r="H40" s="44"/>
      <c r="I40" s="41"/>
      <c r="J40" s="41"/>
      <c r="K40" s="33" t="s">
        <v>184</v>
      </c>
      <c r="M40" s="33" t="s">
        <v>196</v>
      </c>
    </row>
    <row r="41" spans="1:24" ht="16.5" thickBot="1" x14ac:dyDescent="0.3">
      <c r="A41" s="42"/>
      <c r="B41" s="41">
        <f t="shared" si="8"/>
        <v>5.8580000000000032</v>
      </c>
      <c r="C41" s="41">
        <f>+HEX2DEC(CONCATENATE($K$12,$L$12))/256+HEX2DEC(U12)*HEX2DEC($M$12)/256</f>
        <v>50.38671875</v>
      </c>
      <c r="D41" s="87">
        <v>0</v>
      </c>
      <c r="E41" s="55">
        <f t="shared" si="0"/>
        <v>50.38671875</v>
      </c>
      <c r="F41" s="44">
        <f>+HEX2DEC(CONCATENATE($K$45,$L$45))/256+HEX2DEC(U45)*HEX2DEC($M$45)/256</f>
        <v>50.34765625</v>
      </c>
      <c r="G41" s="44">
        <f t="shared" si="9"/>
        <v>5.8580000000000032</v>
      </c>
      <c r="H41" s="44"/>
      <c r="I41" s="41"/>
      <c r="K41" s="46" t="s">
        <v>0</v>
      </c>
      <c r="L41" s="47"/>
      <c r="M41" s="48"/>
      <c r="N41" s="46" t="s">
        <v>1</v>
      </c>
      <c r="O41" s="49"/>
      <c r="P41" s="49"/>
      <c r="Q41" s="49"/>
      <c r="R41" s="49"/>
      <c r="S41" s="49"/>
      <c r="T41" s="49"/>
      <c r="U41" s="49"/>
      <c r="V41" s="50"/>
    </row>
    <row r="42" spans="1:24" ht="16.5" thickBot="1" x14ac:dyDescent="0.3">
      <c r="A42" s="51"/>
      <c r="B42" s="52">
        <f t="shared" si="8"/>
        <v>5.9860000000000033</v>
      </c>
      <c r="C42" s="52">
        <f>+HEX2DEC(CONCATENATE($K$12,$L$12))/256+HEX2DEC(V12)*HEX2DEC($M$12)/256</f>
        <v>53.56640625</v>
      </c>
      <c r="D42" s="88">
        <v>0</v>
      </c>
      <c r="E42" s="72">
        <f t="shared" si="0"/>
        <v>53.56640625</v>
      </c>
      <c r="F42" s="54">
        <f>+ROUND(HEX2DEC(CONCATENATE($K$45,$L$45))/256+HEX2DEC(V45)*HEX2DEC($M$45)/256,3)</f>
        <v>53.527000000000001</v>
      </c>
      <c r="G42" s="54">
        <f t="shared" si="9"/>
        <v>5.9860000000000033</v>
      </c>
      <c r="H42" s="54"/>
      <c r="I42" s="41"/>
      <c r="J42" s="40" t="s">
        <v>82</v>
      </c>
      <c r="K42" s="77" t="str">
        <f t="shared" ref="K42:K50" si="15">+LEFT(DEC2HEX(K26,4),2)</f>
        <v>02</v>
      </c>
      <c r="L42" s="78" t="str">
        <f t="shared" ref="L42:L50" si="16">+RIGHT(DEC2HEX(K26,4),2)</f>
        <v>FF</v>
      </c>
      <c r="M42" s="79" t="str">
        <f t="shared" ref="M42:V42" si="17">+DEC2HEX(M26,2)</f>
        <v>06</v>
      </c>
      <c r="N42" s="78" t="str">
        <f t="shared" si="17"/>
        <v>00</v>
      </c>
      <c r="O42" s="78" t="str">
        <f t="shared" si="17"/>
        <v>12</v>
      </c>
      <c r="P42" s="78" t="str">
        <f t="shared" si="17"/>
        <v>27</v>
      </c>
      <c r="Q42" s="78" t="str">
        <f t="shared" si="17"/>
        <v>3E</v>
      </c>
      <c r="R42" s="78" t="str">
        <f t="shared" si="17"/>
        <v>58</v>
      </c>
      <c r="S42" s="78" t="str">
        <f t="shared" si="17"/>
        <v>74</v>
      </c>
      <c r="T42" s="78" t="str">
        <f t="shared" si="17"/>
        <v>92</v>
      </c>
      <c r="U42" s="78" t="str">
        <f t="shared" si="17"/>
        <v>B3</v>
      </c>
      <c r="V42" s="79" t="str">
        <f t="shared" si="17"/>
        <v>D5</v>
      </c>
    </row>
    <row r="43" spans="1:24" ht="15.75" x14ac:dyDescent="0.25">
      <c r="A43" s="37" t="s">
        <v>69</v>
      </c>
      <c r="B43" s="38">
        <f t="shared" ref="B43" si="18">+B42</f>
        <v>5.9860000000000033</v>
      </c>
      <c r="C43" s="38">
        <f>+HEX2DEC(CONCATENATE($K$13,$L$13))/256+HEX2DEC(N13)*HEX2DEC($M$13)/256</f>
        <v>53.58203125</v>
      </c>
      <c r="D43" s="89">
        <f t="shared" ref="D43:D74" si="19">+D42</f>
        <v>0</v>
      </c>
      <c r="E43" s="90">
        <f>+E42+H43</f>
        <v>53.56640625</v>
      </c>
      <c r="F43" s="40">
        <f>+ROUND(HEX2DEC(CONCATENATE($K$46,$L$46))/256+HEX2DEC(N46)*HEX2DEC($M$46)/256,3)</f>
        <v>53.566000000000003</v>
      </c>
      <c r="G43" s="40">
        <f t="shared" ref="G43" si="20">+G42</f>
        <v>5.9860000000000033</v>
      </c>
      <c r="H43" s="40"/>
      <c r="I43" s="41"/>
      <c r="J43" s="44" t="s">
        <v>83</v>
      </c>
      <c r="K43" s="80" t="str">
        <f t="shared" si="15"/>
        <v>08</v>
      </c>
      <c r="L43" s="81" t="str">
        <f t="shared" si="16"/>
        <v>00</v>
      </c>
      <c r="M43" s="82" t="str">
        <f t="shared" ref="M43:V43" si="21">+DEC2HEX(M27,2)</f>
        <v>0A</v>
      </c>
      <c r="N43" s="81" t="str">
        <f t="shared" si="21"/>
        <v>00</v>
      </c>
      <c r="O43" s="81" t="str">
        <f t="shared" si="21"/>
        <v>16</v>
      </c>
      <c r="P43" s="81" t="str">
        <f t="shared" si="21"/>
        <v>2D</v>
      </c>
      <c r="Q43" s="81" t="str">
        <f t="shared" si="21"/>
        <v>46</v>
      </c>
      <c r="R43" s="81" t="str">
        <f t="shared" si="21"/>
        <v>62</v>
      </c>
      <c r="S43" s="81" t="str">
        <f t="shared" si="21"/>
        <v>7F</v>
      </c>
      <c r="T43" s="81" t="str">
        <f t="shared" si="21"/>
        <v>A0</v>
      </c>
      <c r="U43" s="81" t="str">
        <f t="shared" si="21"/>
        <v>C2</v>
      </c>
      <c r="V43" s="82" t="str">
        <f t="shared" si="21"/>
        <v>E7</v>
      </c>
    </row>
    <row r="44" spans="1:24" ht="15.75" x14ac:dyDescent="0.25">
      <c r="A44" s="42"/>
      <c r="B44" s="41">
        <f t="shared" ref="B44" si="22">0.128+B43</f>
        <v>6.1140000000000034</v>
      </c>
      <c r="C44" s="41">
        <f>+HEX2DEC(CONCATENATE($K$13,$L$13))/256+HEX2DEC(O13)*HEX2DEC($M$13)/256</f>
        <v>56.83203125</v>
      </c>
      <c r="D44" s="87">
        <v>0</v>
      </c>
      <c r="E44" s="55">
        <f t="shared" si="0"/>
        <v>56.83203125</v>
      </c>
      <c r="F44" s="44">
        <f>+HEX2DEC(CONCATENATE($K$46,$L$46))/256+HEX2DEC(O46)*HEX2DEC($M$46)/256</f>
        <v>56.81640625</v>
      </c>
      <c r="G44" s="44">
        <f t="shared" ref="G44" si="23">0.128+G43</f>
        <v>6.1140000000000034</v>
      </c>
      <c r="H44" s="44"/>
      <c r="I44" s="41"/>
      <c r="J44" s="44" t="s">
        <v>84</v>
      </c>
      <c r="K44" s="80" t="str">
        <f t="shared" si="15"/>
        <v>11</v>
      </c>
      <c r="L44" s="81" t="str">
        <f t="shared" si="16"/>
        <v>09</v>
      </c>
      <c r="M44" s="82" t="str">
        <f t="shared" ref="M44:V44" si="24">+DEC2HEX(M28,2)</f>
        <v>0F</v>
      </c>
      <c r="N44" s="81" t="str">
        <f t="shared" si="24"/>
        <v>00</v>
      </c>
      <c r="O44" s="81" t="str">
        <f t="shared" si="24"/>
        <v>1A</v>
      </c>
      <c r="P44" s="81" t="str">
        <f t="shared" si="24"/>
        <v>35</v>
      </c>
      <c r="Q44" s="81" t="str">
        <f t="shared" si="24"/>
        <v>53</v>
      </c>
      <c r="R44" s="81" t="str">
        <f t="shared" si="24"/>
        <v>72</v>
      </c>
      <c r="S44" s="81" t="str">
        <f t="shared" si="24"/>
        <v>92</v>
      </c>
      <c r="T44" s="81" t="str">
        <f t="shared" si="24"/>
        <v>B4</v>
      </c>
      <c r="U44" s="81" t="str">
        <f t="shared" si="24"/>
        <v>D8</v>
      </c>
      <c r="V44" s="82" t="str">
        <f t="shared" si="24"/>
        <v>FD</v>
      </c>
    </row>
    <row r="45" spans="1:24" ht="15.75" x14ac:dyDescent="0.25">
      <c r="A45" s="42"/>
      <c r="B45" s="41">
        <f t="shared" si="8"/>
        <v>6.2420000000000035</v>
      </c>
      <c r="C45" s="41">
        <f>+HEX2DEC(CONCATENATE($K$13,$L$13))/256+HEX2DEC(P13)*HEX2DEC($M$13)/256</f>
        <v>60.45703125</v>
      </c>
      <c r="D45" s="87">
        <v>0</v>
      </c>
      <c r="E45" s="55">
        <f t="shared" si="0"/>
        <v>60.45703125</v>
      </c>
      <c r="F45" s="44">
        <f>+HEX2DEC(CONCATENATE($K$46,$L$46))/256+HEX2DEC(P46)*HEX2DEC($M$46)/256</f>
        <v>60.44140625</v>
      </c>
      <c r="G45" s="44">
        <f t="shared" si="9"/>
        <v>6.2420000000000035</v>
      </c>
      <c r="H45" s="44"/>
      <c r="I45" s="41"/>
      <c r="J45" s="44" t="s">
        <v>85</v>
      </c>
      <c r="K45" s="80" t="str">
        <f t="shared" si="15"/>
        <v>1F</v>
      </c>
      <c r="L45" s="81" t="str">
        <f t="shared" si="16"/>
        <v>DF</v>
      </c>
      <c r="M45" s="82" t="str">
        <f t="shared" ref="M45:V45" si="25">+DEC2HEX(M29,2)</f>
        <v>16</v>
      </c>
      <c r="N45" s="81" t="str">
        <f t="shared" si="25"/>
        <v>00</v>
      </c>
      <c r="O45" s="81" t="str">
        <f t="shared" si="25"/>
        <v>1A</v>
      </c>
      <c r="P45" s="81" t="str">
        <f t="shared" si="25"/>
        <v>36</v>
      </c>
      <c r="Q45" s="81" t="str">
        <f t="shared" si="25"/>
        <v>53</v>
      </c>
      <c r="R45" s="81" t="str">
        <f t="shared" si="25"/>
        <v>72</v>
      </c>
      <c r="S45" s="81" t="str">
        <f t="shared" si="25"/>
        <v>92</v>
      </c>
      <c r="T45" s="81" t="str">
        <f t="shared" si="25"/>
        <v>B4</v>
      </c>
      <c r="U45" s="81" t="str">
        <f t="shared" si="25"/>
        <v>D7</v>
      </c>
      <c r="V45" s="82" t="str">
        <f t="shared" si="25"/>
        <v>FC</v>
      </c>
    </row>
    <row r="46" spans="1:24" ht="15.75" x14ac:dyDescent="0.25">
      <c r="A46" s="42"/>
      <c r="B46" s="41">
        <f t="shared" si="8"/>
        <v>6.3700000000000037</v>
      </c>
      <c r="C46" s="41">
        <f>+HEX2DEC(CONCATENATE($K$13,$L$13))/256+HEX2DEC(Q13)*HEX2DEC($M$13)/256</f>
        <v>64.20703125</v>
      </c>
      <c r="D46" s="87">
        <v>0</v>
      </c>
      <c r="E46" s="55">
        <f t="shared" si="0"/>
        <v>64.20703125</v>
      </c>
      <c r="F46" s="44">
        <f>+HEX2DEC(CONCATENATE($K$46,$L$46))/256+HEX2DEC(Q46)*HEX2DEC($M$46)/256</f>
        <v>64.19140625</v>
      </c>
      <c r="G46" s="44">
        <f t="shared" si="9"/>
        <v>6.3700000000000037</v>
      </c>
      <c r="H46" s="44"/>
      <c r="I46" s="41"/>
      <c r="J46" s="44" t="s">
        <v>86</v>
      </c>
      <c r="K46" s="80" t="str">
        <f t="shared" si="15"/>
        <v>35</v>
      </c>
      <c r="L46" s="81" t="str">
        <f t="shared" si="16"/>
        <v>91</v>
      </c>
      <c r="M46" s="82" t="str">
        <f t="shared" ref="M46:V46" si="26">+DEC2HEX(M30,2)</f>
        <v>20</v>
      </c>
      <c r="N46" s="81" t="str">
        <f t="shared" si="26"/>
        <v>00</v>
      </c>
      <c r="O46" s="81" t="str">
        <f t="shared" si="26"/>
        <v>1A</v>
      </c>
      <c r="P46" s="81" t="str">
        <f t="shared" si="26"/>
        <v>37</v>
      </c>
      <c r="Q46" s="81" t="str">
        <f t="shared" si="26"/>
        <v>55</v>
      </c>
      <c r="R46" s="81" t="str">
        <f t="shared" si="26"/>
        <v>74</v>
      </c>
      <c r="S46" s="81" t="str">
        <f t="shared" si="26"/>
        <v>94</v>
      </c>
      <c r="T46" s="81" t="str">
        <f t="shared" si="26"/>
        <v>B6</v>
      </c>
      <c r="U46" s="81" t="str">
        <f t="shared" si="26"/>
        <v>D8</v>
      </c>
      <c r="V46" s="82" t="str">
        <f t="shared" si="26"/>
        <v>FC</v>
      </c>
    </row>
    <row r="47" spans="1:24" ht="15.75" x14ac:dyDescent="0.25">
      <c r="A47" s="42"/>
      <c r="B47" s="41">
        <f t="shared" si="8"/>
        <v>6.4980000000000038</v>
      </c>
      <c r="C47" s="41">
        <f>+HEX2DEC(CONCATENATE($K$13,$L$13))/256+HEX2DEC(R13)*HEX2DEC($M$13)/256</f>
        <v>68.08203125</v>
      </c>
      <c r="D47" s="87">
        <v>0</v>
      </c>
      <c r="E47" s="55">
        <f t="shared" si="0"/>
        <v>68.08203125</v>
      </c>
      <c r="F47" s="44">
        <f>+HEX2DEC(CONCATENATE($K$46,$L$46))/256+HEX2DEC(R46)*HEX2DEC($M$46)/256</f>
        <v>68.06640625</v>
      </c>
      <c r="G47" s="44">
        <f t="shared" si="9"/>
        <v>6.4980000000000038</v>
      </c>
      <c r="H47" s="44"/>
      <c r="I47" s="41"/>
      <c r="J47" s="44" t="s">
        <v>87</v>
      </c>
      <c r="K47" s="80" t="str">
        <f t="shared" si="15"/>
        <v>55</v>
      </c>
      <c r="L47" s="81" t="str">
        <f t="shared" si="16"/>
        <v>15</v>
      </c>
      <c r="M47" s="82" t="str">
        <f t="shared" ref="M47:V47" si="27">+DEC2HEX(M31,2)</f>
        <v>2A</v>
      </c>
      <c r="N47" s="81" t="str">
        <f t="shared" si="27"/>
        <v>00</v>
      </c>
      <c r="O47" s="81" t="str">
        <f t="shared" si="27"/>
        <v>1D</v>
      </c>
      <c r="P47" s="81" t="str">
        <f t="shared" si="27"/>
        <v>3A</v>
      </c>
      <c r="Q47" s="81" t="str">
        <f t="shared" si="27"/>
        <v>58</v>
      </c>
      <c r="R47" s="81" t="str">
        <f t="shared" si="27"/>
        <v>77</v>
      </c>
      <c r="S47" s="81" t="str">
        <f t="shared" si="27"/>
        <v>97</v>
      </c>
      <c r="T47" s="81" t="str">
        <f t="shared" si="27"/>
        <v>B9</v>
      </c>
      <c r="U47" s="81" t="str">
        <f t="shared" si="27"/>
        <v>DB</v>
      </c>
      <c r="V47" s="82" t="str">
        <f t="shared" si="27"/>
        <v>FE</v>
      </c>
    </row>
    <row r="48" spans="1:24" ht="15.75" x14ac:dyDescent="0.25">
      <c r="A48" s="42"/>
      <c r="B48" s="41">
        <f t="shared" si="8"/>
        <v>6.6260000000000039</v>
      </c>
      <c r="C48" s="41">
        <f>+HEX2DEC(CONCATENATE($K$13,$L$13))/256+HEX2DEC(S13)*HEX2DEC($M$13)/256</f>
        <v>72.08203125</v>
      </c>
      <c r="D48" s="87">
        <v>0</v>
      </c>
      <c r="E48" s="55">
        <f t="shared" si="0"/>
        <v>72.08203125</v>
      </c>
      <c r="F48" s="44">
        <f>+HEX2DEC(CONCATENATE($K$46,$L$46))/256+HEX2DEC(S46)*HEX2DEC($M$46)/256</f>
        <v>72.06640625</v>
      </c>
      <c r="G48" s="44">
        <f t="shared" si="9"/>
        <v>6.6260000000000039</v>
      </c>
      <c r="H48" s="44"/>
      <c r="I48" s="41"/>
      <c r="J48" s="44" t="s">
        <v>88</v>
      </c>
      <c r="K48" s="80" t="str">
        <f t="shared" si="15"/>
        <v>7E</v>
      </c>
      <c r="L48" s="81" t="str">
        <f t="shared" si="16"/>
        <v>C4</v>
      </c>
      <c r="M48" s="82" t="str">
        <f t="shared" ref="M48:V48" si="28">+DEC2HEX(M32,2)</f>
        <v>35</v>
      </c>
      <c r="N48" s="81" t="str">
        <f t="shared" si="28"/>
        <v>00</v>
      </c>
      <c r="O48" s="81" t="str">
        <f t="shared" si="28"/>
        <v>1C</v>
      </c>
      <c r="P48" s="81" t="str">
        <f t="shared" si="28"/>
        <v>3A</v>
      </c>
      <c r="Q48" s="81" t="str">
        <f t="shared" si="28"/>
        <v>58</v>
      </c>
      <c r="R48" s="81" t="str">
        <f t="shared" si="28"/>
        <v>78</v>
      </c>
      <c r="S48" s="81" t="str">
        <f t="shared" si="28"/>
        <v>98</v>
      </c>
      <c r="T48" s="81" t="str">
        <f t="shared" si="28"/>
        <v>B8</v>
      </c>
      <c r="U48" s="81" t="str">
        <f t="shared" si="28"/>
        <v>DA</v>
      </c>
      <c r="V48" s="82" t="str">
        <f t="shared" si="28"/>
        <v>FD</v>
      </c>
    </row>
    <row r="49" spans="1:24" ht="15.75" x14ac:dyDescent="0.25">
      <c r="A49" s="42"/>
      <c r="B49" s="41">
        <f t="shared" si="8"/>
        <v>6.754000000000004</v>
      </c>
      <c r="C49" s="41">
        <f>+HEX2DEC(CONCATENATE($K$13,$L$13))/256+HEX2DEC(T13)*HEX2DEC($M$13)/256</f>
        <v>76.33203125</v>
      </c>
      <c r="D49" s="87">
        <v>0</v>
      </c>
      <c r="E49" s="55">
        <f t="shared" si="0"/>
        <v>76.33203125</v>
      </c>
      <c r="F49" s="44">
        <f>+HEX2DEC(CONCATENATE($K$46,$L$46))/256+HEX2DEC(T46)*HEX2DEC($M$46)/256</f>
        <v>76.31640625</v>
      </c>
      <c r="G49" s="44">
        <f t="shared" si="9"/>
        <v>6.754000000000004</v>
      </c>
      <c r="H49" s="44"/>
      <c r="I49" s="41"/>
      <c r="J49" s="44" t="s">
        <v>89</v>
      </c>
      <c r="K49" s="80" t="str">
        <f t="shared" si="15"/>
        <v>B3</v>
      </c>
      <c r="L49" s="81" t="str">
        <f t="shared" si="16"/>
        <v>38</v>
      </c>
      <c r="M49" s="82" t="str">
        <f t="shared" ref="M49:V49" si="29">+DEC2HEX(M33,2)</f>
        <v>43</v>
      </c>
      <c r="N49" s="81" t="str">
        <f t="shared" si="29"/>
        <v>00</v>
      </c>
      <c r="O49" s="81" t="str">
        <f t="shared" si="29"/>
        <v>1C</v>
      </c>
      <c r="P49" s="81" t="str">
        <f t="shared" si="29"/>
        <v>39</v>
      </c>
      <c r="Q49" s="81" t="str">
        <f t="shared" si="29"/>
        <v>57</v>
      </c>
      <c r="R49" s="81" t="str">
        <f t="shared" si="29"/>
        <v>76</v>
      </c>
      <c r="S49" s="81" t="str">
        <f t="shared" si="29"/>
        <v>96</v>
      </c>
      <c r="T49" s="81" t="str">
        <f t="shared" si="29"/>
        <v>B8</v>
      </c>
      <c r="U49" s="81" t="str">
        <f t="shared" si="29"/>
        <v>DA</v>
      </c>
      <c r="V49" s="82" t="str">
        <f t="shared" si="29"/>
        <v>FE</v>
      </c>
    </row>
    <row r="50" spans="1:24" ht="15.75" x14ac:dyDescent="0.25">
      <c r="A50" s="42"/>
      <c r="B50" s="41">
        <f t="shared" si="8"/>
        <v>6.8820000000000041</v>
      </c>
      <c r="C50" s="41">
        <f>+HEX2DEC(CONCATENATE($K$13,$L$13))/256+HEX2DEC(U13)*HEX2DEC($M$13)/256</f>
        <v>80.58203125</v>
      </c>
      <c r="D50" s="87">
        <v>0</v>
      </c>
      <c r="E50" s="55">
        <f t="shared" si="0"/>
        <v>80.58203125</v>
      </c>
      <c r="F50" s="44">
        <f>+HEX2DEC(CONCATENATE($K$46,$L$46))/256+HEX2DEC(U46)*HEX2DEC($M$46)/256</f>
        <v>80.56640625</v>
      </c>
      <c r="G50" s="44">
        <f t="shared" si="9"/>
        <v>6.8820000000000041</v>
      </c>
      <c r="H50" s="44"/>
      <c r="I50" s="41"/>
      <c r="J50" s="44" t="s">
        <v>178</v>
      </c>
      <c r="K50" s="81" t="str">
        <f t="shared" si="15"/>
        <v>F5</v>
      </c>
      <c r="L50" s="81" t="str">
        <f t="shared" si="16"/>
        <v>C8</v>
      </c>
      <c r="M50" s="82" t="str">
        <f t="shared" ref="M50" si="30">+DEC2HEX(M34,2)</f>
        <v>48</v>
      </c>
      <c r="N50" s="81" t="str">
        <f t="shared" ref="N50:V50" si="31">+DEC2HEX(N34,2)</f>
        <v>00</v>
      </c>
      <c r="O50" s="81" t="str">
        <f t="shared" si="31"/>
        <v>1D</v>
      </c>
      <c r="P50" s="81" t="str">
        <f t="shared" si="31"/>
        <v>3E</v>
      </c>
      <c r="Q50" s="81" t="str">
        <f t="shared" si="31"/>
        <v>5D</v>
      </c>
      <c r="R50" s="81" t="str">
        <f t="shared" si="31"/>
        <v>7E</v>
      </c>
      <c r="S50" s="81" t="str">
        <f t="shared" si="31"/>
        <v>9D</v>
      </c>
      <c r="T50" s="81" t="str">
        <f t="shared" si="31"/>
        <v>BE</v>
      </c>
      <c r="U50" s="81" t="str">
        <f t="shared" si="31"/>
        <v>DC</v>
      </c>
      <c r="V50" s="82" t="str">
        <f t="shared" si="31"/>
        <v>FD</v>
      </c>
    </row>
    <row r="51" spans="1:24" ht="16.5" thickBot="1" x14ac:dyDescent="0.3">
      <c r="A51" s="51"/>
      <c r="B51" s="52">
        <f t="shared" si="8"/>
        <v>7.0100000000000042</v>
      </c>
      <c r="C51" s="52">
        <f>+HEX2DEC(CONCATENATE($K$13,$L$13))/256+HEX2DEC(V13)*HEX2DEC($M$13)/256</f>
        <v>85.08203125</v>
      </c>
      <c r="D51" s="88">
        <v>0</v>
      </c>
      <c r="E51" s="72">
        <f t="shared" si="0"/>
        <v>85.08203125</v>
      </c>
      <c r="F51" s="54">
        <f>+ROUND(HEX2DEC(CONCATENATE($K$46,$L$46))/256+HEX2DEC(V46)*HEX2DEC($M$46)/256,3)</f>
        <v>85.066000000000003</v>
      </c>
      <c r="G51" s="54">
        <f t="shared" si="9"/>
        <v>7.0100000000000042</v>
      </c>
      <c r="H51" s="54"/>
      <c r="I51" s="41"/>
      <c r="J51" s="44" t="s">
        <v>179</v>
      </c>
      <c r="K51" s="81" t="str">
        <f>+LEFT(DEC2HEX(K35,4),2)</f>
        <v>FF</v>
      </c>
      <c r="L51" s="81" t="str">
        <f>+RIGHT(DEC2HEX(K35,5),2)</f>
        <v>FF</v>
      </c>
      <c r="M51" s="82" t="str">
        <f t="shared" ref="M51" si="32">+DEC2HEX(M35,2)</f>
        <v>86</v>
      </c>
      <c r="N51" s="81" t="str">
        <f t="shared" ref="N51:V51" si="33">+DEC2HEX(N35,2)</f>
        <v>75</v>
      </c>
      <c r="O51" s="81" t="str">
        <f t="shared" si="33"/>
        <v>85</v>
      </c>
      <c r="P51" s="81" t="str">
        <f t="shared" si="33"/>
        <v>96</v>
      </c>
      <c r="Q51" s="81" t="str">
        <f t="shared" si="33"/>
        <v>A7</v>
      </c>
      <c r="R51" s="81" t="str">
        <f t="shared" si="33"/>
        <v>B9</v>
      </c>
      <c r="S51" s="81" t="str">
        <f t="shared" si="33"/>
        <v>CA</v>
      </c>
      <c r="T51" s="81" t="str">
        <f t="shared" si="33"/>
        <v>DB</v>
      </c>
      <c r="U51" s="81" t="str">
        <f t="shared" si="33"/>
        <v>EC</v>
      </c>
      <c r="V51" s="82" t="str">
        <f t="shared" si="33"/>
        <v>FF</v>
      </c>
    </row>
    <row r="52" spans="1:24" ht="15.75" x14ac:dyDescent="0.25">
      <c r="A52" s="37" t="s">
        <v>70</v>
      </c>
      <c r="B52" s="38">
        <f t="shared" ref="B52" si="34">+B51</f>
        <v>7.0100000000000042</v>
      </c>
      <c r="C52" s="38">
        <f>+HEX2DEC(CONCATENATE($K$14,$L$14))/256+HEX2DEC(N14)*HEX2DEC($M$14)/256</f>
        <v>85.17578125</v>
      </c>
      <c r="D52" s="89">
        <f t="shared" ref="D52:D83" si="35">+D51</f>
        <v>0</v>
      </c>
      <c r="E52" s="90">
        <f>+E51+H52</f>
        <v>85.08203125</v>
      </c>
      <c r="F52" s="40">
        <f>+ROUND(HEX2DEC(CONCATENATE($K$47,$L$47))/256+HEX2DEC(N47)*HEX2DEC($M$47)/256,3)</f>
        <v>85.081999999999994</v>
      </c>
      <c r="G52" s="40">
        <f t="shared" ref="G52" si="36">+G51</f>
        <v>7.0100000000000042</v>
      </c>
      <c r="H52" s="40"/>
      <c r="I52" s="41"/>
      <c r="J52" s="44" t="s">
        <v>183</v>
      </c>
      <c r="K52" s="80" t="str">
        <f>+LEFT(DEC2HEX(K36,4),2)</f>
        <v>FF</v>
      </c>
      <c r="L52" s="81" t="str">
        <f>+RIGHT(DEC2HEX(K36),2)</f>
        <v>FF</v>
      </c>
      <c r="M52" s="82" t="str">
        <f t="shared" ref="M52" si="37">+DEC2HEX(M36,2)</f>
        <v>CE</v>
      </c>
      <c r="N52" s="80" t="str">
        <f t="shared" ref="N52:V52" si="38">+DEC2HEX(N36,2)</f>
        <v>A6</v>
      </c>
      <c r="O52" s="81" t="str">
        <f t="shared" si="38"/>
        <v>B1</v>
      </c>
      <c r="P52" s="81" t="str">
        <f t="shared" si="38"/>
        <v>BC</v>
      </c>
      <c r="Q52" s="81" t="str">
        <f t="shared" si="38"/>
        <v>C7</v>
      </c>
      <c r="R52" s="81" t="str">
        <f t="shared" si="38"/>
        <v>D2</v>
      </c>
      <c r="S52" s="81" t="str">
        <f t="shared" si="38"/>
        <v>DE</v>
      </c>
      <c r="T52" s="81" t="str">
        <f t="shared" si="38"/>
        <v>E9</v>
      </c>
      <c r="U52" s="81" t="str">
        <f t="shared" si="38"/>
        <v>F4</v>
      </c>
      <c r="V52" s="82" t="str">
        <f t="shared" si="38"/>
        <v>FF</v>
      </c>
    </row>
    <row r="53" spans="1:24" ht="16.5" thickBot="1" x14ac:dyDescent="0.3">
      <c r="A53" s="42"/>
      <c r="B53" s="41">
        <f t="shared" ref="B53" si="39">0.128+B52</f>
        <v>7.1380000000000043</v>
      </c>
      <c r="C53" s="41">
        <f>+HEX2DEC(CONCATENATE($K$14,$L$14))/256+HEX2DEC(O14)*HEX2DEC($M$14)/256</f>
        <v>89.76953125</v>
      </c>
      <c r="D53" s="87">
        <v>0</v>
      </c>
      <c r="E53" s="55">
        <f t="shared" si="0"/>
        <v>89.76953125</v>
      </c>
      <c r="F53" s="44">
        <f>+HEX2DEC(CONCATENATE($K$47,$L$47))/256+HEX2DEC(O47)*HEX2DEC($M$47)/256</f>
        <v>89.83984375</v>
      </c>
      <c r="G53" s="44">
        <f t="shared" ref="G53" si="40">0.128+G52</f>
        <v>7.1380000000000043</v>
      </c>
      <c r="H53" s="44"/>
      <c r="I53" s="41"/>
      <c r="J53" s="54" t="s">
        <v>186</v>
      </c>
      <c r="K53" s="114" t="str">
        <f>+LEFT(DEC2HEX(K37,4),2)</f>
        <v>FF</v>
      </c>
      <c r="L53" s="83" t="str">
        <f>+RIGHT(DEC2HEX(K37,5),2)</f>
        <v>FF</v>
      </c>
      <c r="M53" s="84" t="str">
        <f t="shared" ref="M53" si="41">+DEC2HEX(M37,2)</f>
        <v>FF</v>
      </c>
      <c r="N53" s="114" t="str">
        <f t="shared" ref="N53:V53" si="42">+DEC2HEX(N37,2)</f>
        <v>CF</v>
      </c>
      <c r="O53" s="83" t="str">
        <f t="shared" si="42"/>
        <v>D7</v>
      </c>
      <c r="P53" s="83" t="str">
        <f t="shared" si="42"/>
        <v>E0</v>
      </c>
      <c r="Q53" s="83" t="str">
        <f t="shared" si="42"/>
        <v>E9</v>
      </c>
      <c r="R53" s="83" t="str">
        <f t="shared" si="42"/>
        <v>ED</v>
      </c>
      <c r="S53" s="83" t="str">
        <f t="shared" si="42"/>
        <v>F0</v>
      </c>
      <c r="T53" s="83" t="str">
        <f t="shared" si="42"/>
        <v>F5</v>
      </c>
      <c r="U53" s="83" t="str">
        <f t="shared" si="42"/>
        <v>FB</v>
      </c>
      <c r="V53" s="84" t="str">
        <f t="shared" si="42"/>
        <v>FF</v>
      </c>
    </row>
    <row r="54" spans="1:24" ht="15.75" x14ac:dyDescent="0.25">
      <c r="A54" s="42"/>
      <c r="B54" s="41">
        <f t="shared" si="8"/>
        <v>7.2660000000000045</v>
      </c>
      <c r="C54" s="41">
        <f>+HEX2DEC(CONCATENATE($K$14,$L$14))/256+HEX2DEC(P14)*HEX2DEC($M$14)/256</f>
        <v>94.52734375</v>
      </c>
      <c r="D54" s="87">
        <v>0</v>
      </c>
      <c r="E54" s="55">
        <f t="shared" si="0"/>
        <v>94.52734375</v>
      </c>
      <c r="F54" s="44">
        <f>+HEX2DEC(CONCATENATE($K$47,$L$47))/256+HEX2DEC(P47)*HEX2DEC($M$47)/256</f>
        <v>94.59765625</v>
      </c>
      <c r="G54" s="44">
        <f t="shared" si="9"/>
        <v>7.2660000000000045</v>
      </c>
      <c r="H54" s="44"/>
      <c r="I54" s="41"/>
      <c r="J54" s="91"/>
      <c r="K54" s="91"/>
    </row>
    <row r="55" spans="1:24" ht="15.75" x14ac:dyDescent="0.25">
      <c r="A55" s="42"/>
      <c r="B55" s="41">
        <f t="shared" si="8"/>
        <v>7.3940000000000046</v>
      </c>
      <c r="C55" s="41">
        <f>+HEX2DEC(CONCATENATE($K$14,$L$14))/256+HEX2DEC(Q14)*HEX2DEC($M$14)/256</f>
        <v>99.44921875</v>
      </c>
      <c r="D55" s="87">
        <v>0</v>
      </c>
      <c r="E55" s="55">
        <f t="shared" si="0"/>
        <v>99.44921875</v>
      </c>
      <c r="F55" s="44">
        <f>+HEX2DEC(CONCATENATE($K$47,$L$47))/256+HEX2DEC(Q47)*HEX2DEC($M$47)/256</f>
        <v>99.51953125</v>
      </c>
      <c r="G55" s="44">
        <f t="shared" si="9"/>
        <v>7.3940000000000046</v>
      </c>
      <c r="H55" s="44"/>
      <c r="I55" s="41"/>
      <c r="J55" s="91"/>
    </row>
    <row r="56" spans="1:24" ht="15.75" x14ac:dyDescent="0.25">
      <c r="A56" s="42"/>
      <c r="B56" s="41">
        <f t="shared" si="8"/>
        <v>7.5220000000000047</v>
      </c>
      <c r="C56" s="41">
        <f>+HEX2DEC(CONCATENATE($K$14,$L$14))/256+HEX2DEC(R14)*HEX2DEC($M$14)/256</f>
        <v>104.53515625</v>
      </c>
      <c r="D56" s="87">
        <v>0</v>
      </c>
      <c r="E56" s="55">
        <f t="shared" si="0"/>
        <v>104.53515625</v>
      </c>
      <c r="F56" s="44">
        <f>+HEX2DEC(CONCATENATE($K$47,$L$47))/256+HEX2DEC(R47)*HEX2DEC($M$47)/256</f>
        <v>104.60546875</v>
      </c>
      <c r="G56" s="44">
        <f t="shared" si="9"/>
        <v>7.5220000000000047</v>
      </c>
      <c r="H56" s="44"/>
      <c r="I56" s="41"/>
      <c r="J56" s="91"/>
      <c r="K56" s="91"/>
    </row>
    <row r="57" spans="1:24" ht="16.5" thickBot="1" x14ac:dyDescent="0.3">
      <c r="A57" s="42"/>
      <c r="B57" s="41">
        <f t="shared" si="8"/>
        <v>7.6500000000000048</v>
      </c>
      <c r="C57" s="41">
        <f>+HEX2DEC(CONCATENATE($K$14,$L$14))/256+HEX2DEC(S14)*HEX2DEC($M$14)/256</f>
        <v>109.78515625</v>
      </c>
      <c r="D57" s="87">
        <v>0</v>
      </c>
      <c r="E57" s="55">
        <f t="shared" si="0"/>
        <v>109.78515625</v>
      </c>
      <c r="F57" s="44">
        <f>+HEX2DEC(CONCATENATE($K$47,$L$47))/256+HEX2DEC(S47)*HEX2DEC($M$47)/256</f>
        <v>109.85546875</v>
      </c>
      <c r="G57" s="44">
        <f t="shared" si="9"/>
        <v>7.6500000000000048</v>
      </c>
      <c r="H57" s="44"/>
      <c r="I57" s="41"/>
      <c r="J57" s="41"/>
      <c r="K57" s="91"/>
    </row>
    <row r="58" spans="1:24" ht="16.5" thickBot="1" x14ac:dyDescent="0.3">
      <c r="A58" s="42"/>
      <c r="B58" s="41">
        <f t="shared" si="8"/>
        <v>7.7780000000000049</v>
      </c>
      <c r="C58" s="41">
        <f>+HEX2DEC(CONCATENATE($K$14,$L$14))/256+HEX2DEC(T14)*HEX2DEC($M$14)/256</f>
        <v>115.36328125</v>
      </c>
      <c r="D58" s="87">
        <v>0</v>
      </c>
      <c r="E58" s="55">
        <f t="shared" si="0"/>
        <v>115.36328125</v>
      </c>
      <c r="F58" s="44">
        <f>+HEX2DEC(CONCATENATE($K$47,$L$47))/256+HEX2DEC(T47)*HEX2DEC($M$47)/256</f>
        <v>115.43359375</v>
      </c>
      <c r="G58" s="44">
        <f t="shared" si="9"/>
        <v>7.7780000000000049</v>
      </c>
      <c r="H58" s="44"/>
      <c r="I58" s="41"/>
      <c r="J58" s="116"/>
      <c r="K58" s="49"/>
      <c r="L58" s="50"/>
      <c r="M58" s="109" t="s">
        <v>82</v>
      </c>
      <c r="N58" s="109" t="s">
        <v>83</v>
      </c>
      <c r="O58" s="109" t="s">
        <v>84</v>
      </c>
      <c r="P58" s="109" t="s">
        <v>85</v>
      </c>
      <c r="Q58" s="109" t="s">
        <v>86</v>
      </c>
      <c r="R58" s="109" t="s">
        <v>87</v>
      </c>
      <c r="S58" s="109" t="s">
        <v>88</v>
      </c>
      <c r="T58" s="109" t="s">
        <v>89</v>
      </c>
      <c r="U58" s="108" t="s">
        <v>178</v>
      </c>
      <c r="V58" s="109" t="s">
        <v>179</v>
      </c>
      <c r="W58" s="109" t="s">
        <v>183</v>
      </c>
      <c r="X58" s="109" t="s">
        <v>186</v>
      </c>
    </row>
    <row r="59" spans="1:24" ht="15.75" x14ac:dyDescent="0.25">
      <c r="A59" s="42"/>
      <c r="B59" s="41">
        <f t="shared" si="8"/>
        <v>7.906000000000005</v>
      </c>
      <c r="C59" s="41">
        <f>+HEX2DEC(CONCATENATE($K$14,$L$14))/256+HEX2DEC(U14)*HEX2DEC($M$14)/256</f>
        <v>120.94140625</v>
      </c>
      <c r="D59" s="87">
        <v>0</v>
      </c>
      <c r="E59" s="55">
        <f t="shared" si="0"/>
        <v>120.94140625</v>
      </c>
      <c r="F59" s="44">
        <f>+HEX2DEC(CONCATENATE($K$47,$L$47))/256+HEX2DEC(U47)*HEX2DEC($M$47)/256</f>
        <v>121.01171875</v>
      </c>
      <c r="G59" s="44">
        <f t="shared" si="9"/>
        <v>7.906000000000005</v>
      </c>
      <c r="H59" s="44"/>
      <c r="I59" s="41"/>
      <c r="J59" s="37" t="s">
        <v>0</v>
      </c>
      <c r="K59" s="117"/>
      <c r="L59" s="61"/>
      <c r="M59" s="101" t="str">
        <f>+LEFT(DEC2HEX(K26,4),2)</f>
        <v>02</v>
      </c>
      <c r="N59" s="101" t="str">
        <f>+LEFT(DEC2HEX(K27,4),2)</f>
        <v>08</v>
      </c>
      <c r="O59" s="101" t="str">
        <f>+LEFT(DEC2HEX(K28,4),2)</f>
        <v>11</v>
      </c>
      <c r="P59" s="101" t="str">
        <f>+LEFT(DEC2HEX(K29,4),2)</f>
        <v>1F</v>
      </c>
      <c r="Q59" s="101" t="str">
        <f>+LEFT(DEC2HEX(K30,4),2)</f>
        <v>35</v>
      </c>
      <c r="R59" s="101" t="str">
        <f>+LEFT(DEC2HEX(K31,4),2)</f>
        <v>55</v>
      </c>
      <c r="S59" s="101" t="str">
        <f>+LEFT(DEC2HEX(K32,4),2)</f>
        <v>7E</v>
      </c>
      <c r="T59" s="101" t="str">
        <f>+LEFT(DEC2HEX(K33,4),2)</f>
        <v>B3</v>
      </c>
      <c r="U59" s="101" t="str">
        <f>+LEFT(DEC2HEX(L33,4),2)</f>
        <v>00</v>
      </c>
      <c r="V59" s="82" t="str">
        <f>+LEFT(DEC2HEX(M33,4),2)</f>
        <v>00</v>
      </c>
      <c r="W59" s="82" t="str">
        <f>+LEFT(DEC2HEX(N33,4),2)</f>
        <v>00</v>
      </c>
      <c r="X59" s="82" t="str">
        <f>+LEFT(DEC2HEX(O33,4),2)</f>
        <v>00</v>
      </c>
    </row>
    <row r="60" spans="1:24" ht="16.5" thickBot="1" x14ac:dyDescent="0.3">
      <c r="A60" s="51"/>
      <c r="B60" s="52">
        <f t="shared" si="8"/>
        <v>8.0340000000000042</v>
      </c>
      <c r="C60" s="52">
        <f>+HEX2DEC(CONCATENATE($K$14,$L$14))/256+HEX2DEC(V14)*HEX2DEC($M$14)/256</f>
        <v>126.68359375</v>
      </c>
      <c r="D60" s="88">
        <v>0</v>
      </c>
      <c r="E60" s="72">
        <f t="shared" si="0"/>
        <v>126.68359375</v>
      </c>
      <c r="F60" s="54">
        <f>+ROUND(HEX2DEC(CONCATENATE($K$47,$L$47))/256+HEX2DEC(V47)*HEX2DEC($M$47)/256,3)</f>
        <v>126.754</v>
      </c>
      <c r="G60" s="54">
        <f t="shared" si="9"/>
        <v>8.0340000000000042</v>
      </c>
      <c r="H60" s="54"/>
      <c r="I60" s="41"/>
      <c r="J60" s="45"/>
      <c r="K60" s="41"/>
      <c r="L60" s="94"/>
      <c r="M60" s="110" t="str">
        <f>+RIGHT(DEC2HEX(K26,4),2)</f>
        <v>FF</v>
      </c>
      <c r="N60" s="110" t="str">
        <f>+RIGHT(DEC2HEX(K27,4),2)</f>
        <v>00</v>
      </c>
      <c r="O60" s="110" t="str">
        <f>+RIGHT(DEC2HEX(K28,4),2)</f>
        <v>09</v>
      </c>
      <c r="P60" s="110" t="str">
        <f>+RIGHT(DEC2HEX(K29,4),2)</f>
        <v>DF</v>
      </c>
      <c r="Q60" s="110" t="str">
        <f>+RIGHT(DEC2HEX(K30,4),2)</f>
        <v>91</v>
      </c>
      <c r="R60" s="110" t="str">
        <f>+RIGHT(DEC2HEX(K31,4),2)</f>
        <v>15</v>
      </c>
      <c r="S60" s="110" t="str">
        <f>+RIGHT(DEC2HEX(K32,4),2)</f>
        <v>C4</v>
      </c>
      <c r="T60" s="110" t="str">
        <f>+RIGHT(DEC2HEX(K33,4),2)</f>
        <v>38</v>
      </c>
      <c r="U60" s="110" t="str">
        <f>+RIGHT(DEC2HEX(L33,4),2)</f>
        <v>00</v>
      </c>
      <c r="V60" s="112" t="str">
        <f>+RIGHT(DEC2HEX(M33,4),2)</f>
        <v>43</v>
      </c>
      <c r="W60" s="112" t="str">
        <f>+RIGHT(DEC2HEX(N33,4),2)</f>
        <v>00</v>
      </c>
      <c r="X60" s="112" t="str">
        <f>+RIGHT(DEC2HEX(O33,4),2)</f>
        <v>1C</v>
      </c>
    </row>
    <row r="61" spans="1:24" ht="16.5" thickBot="1" x14ac:dyDescent="0.3">
      <c r="A61" s="37" t="s">
        <v>71</v>
      </c>
      <c r="B61" s="38">
        <f t="shared" ref="B61" si="43">+B60</f>
        <v>8.0340000000000042</v>
      </c>
      <c r="C61" s="38">
        <f>+HEX2DEC(CONCATENATE($K$15,$L$15))/256+HEX2DEC(N15)*HEX2DEC($M$15)/256</f>
        <v>126.83984375</v>
      </c>
      <c r="D61" s="89">
        <f t="shared" ref="D61:D92" si="44">+D60</f>
        <v>0</v>
      </c>
      <c r="E61" s="90">
        <f>+E60+H61</f>
        <v>126.76459375</v>
      </c>
      <c r="F61" s="40">
        <f>+ROUND(HEX2DEC(CONCATENATE($K$48,$L$48))/256+HEX2DEC(N48)*HEX2DEC($M$48)/256,3)</f>
        <v>126.76600000000001</v>
      </c>
      <c r="G61" s="40">
        <f t="shared" ref="G61" si="45">+G60</f>
        <v>8.0340000000000042</v>
      </c>
      <c r="H61" s="40">
        <v>8.1000000000000058E-2</v>
      </c>
      <c r="I61" s="41"/>
      <c r="J61" s="118"/>
      <c r="K61" s="52"/>
      <c r="L61" s="96"/>
      <c r="M61" s="111" t="str">
        <f>+DEC2HEX(M26,2)</f>
        <v>06</v>
      </c>
      <c r="N61" s="111" t="str">
        <f>+DEC2HEX(M27,2)</f>
        <v>0A</v>
      </c>
      <c r="O61" s="111" t="str">
        <f>+DEC2HEX(M28,2)</f>
        <v>0F</v>
      </c>
      <c r="P61" s="111" t="str">
        <f>+DEC2HEX(M29,2)</f>
        <v>16</v>
      </c>
      <c r="Q61" s="111" t="str">
        <f>+DEC2HEX(M30,2)</f>
        <v>20</v>
      </c>
      <c r="R61" s="111" t="str">
        <f>+DEC2HEX(M31,2)</f>
        <v>2A</v>
      </c>
      <c r="S61" s="111" t="str">
        <f>+DEC2HEX(M32,2)</f>
        <v>35</v>
      </c>
      <c r="T61" s="110" t="str">
        <f>+DEC2HEX(M33,2)</f>
        <v>43</v>
      </c>
      <c r="U61" s="110" t="str">
        <f>+DEC2HEX(N33,2)</f>
        <v>00</v>
      </c>
      <c r="V61" s="113" t="str">
        <f>+DEC2HEX(O33,2)</f>
        <v>1C</v>
      </c>
      <c r="W61" s="113" t="str">
        <f>+DEC2HEX(P33,2)</f>
        <v>39</v>
      </c>
      <c r="X61" s="113" t="str">
        <f>+DEC2HEX(Q33,2)</f>
        <v>57</v>
      </c>
    </row>
    <row r="62" spans="1:24" ht="15.75" x14ac:dyDescent="0.25">
      <c r="A62" s="42"/>
      <c r="B62" s="41">
        <f t="shared" ref="B62" si="46">0.128+B61</f>
        <v>8.1620000000000044</v>
      </c>
      <c r="C62" s="41">
        <f>+HEX2DEC(CONCATENATE($K$15,$L$15))/256+HEX2DEC(O15)*HEX2DEC($M$15)/256</f>
        <v>132.63671875</v>
      </c>
      <c r="D62" s="87">
        <v>0</v>
      </c>
      <c r="E62" s="55">
        <f t="shared" si="0"/>
        <v>132.63671875</v>
      </c>
      <c r="F62" s="44">
        <f>+HEX2DEC(CONCATENATE($K$48,$L$48))/256+HEX2DEC(O48)*HEX2DEC($M$48)/256</f>
        <v>132.5625</v>
      </c>
      <c r="G62" s="44">
        <f t="shared" ref="G62" si="47">0.128+G61</f>
        <v>8.1620000000000044</v>
      </c>
      <c r="H62" s="44"/>
      <c r="I62" s="41"/>
      <c r="J62" s="37" t="s">
        <v>1</v>
      </c>
      <c r="K62" s="60"/>
      <c r="L62" s="61"/>
      <c r="M62" s="64" t="str">
        <f>+DEC2HEX(N26,2)</f>
        <v>00</v>
      </c>
      <c r="N62" s="100" t="str">
        <f>+DEC2HEX(N27,2)</f>
        <v>00</v>
      </c>
      <c r="O62" s="100" t="str">
        <f>+DEC2HEX(N28,2)</f>
        <v>00</v>
      </c>
      <c r="P62" s="82" t="str">
        <f>+DEC2HEX(N29,2)</f>
        <v>00</v>
      </c>
      <c r="Q62" s="100" t="str">
        <f>+DEC2HEX(N30,2)</f>
        <v>00</v>
      </c>
      <c r="R62" s="100" t="str">
        <f>+DEC2HEX(N31,2)</f>
        <v>00</v>
      </c>
      <c r="S62" s="100" t="str">
        <f>+DEC2HEX(N32,2)</f>
        <v>00</v>
      </c>
      <c r="T62" s="101" t="str">
        <f>+DEC2HEX(N33,2)</f>
        <v>00</v>
      </c>
      <c r="U62" s="101" t="str">
        <f>+DEC2HEX(N34,2)</f>
        <v>00</v>
      </c>
      <c r="V62" s="79" t="str">
        <f>+DEC2HEX($N$35,2)</f>
        <v>75</v>
      </c>
      <c r="W62" s="79" t="str">
        <f>+DEC2HEX($N$36,2)</f>
        <v>A6</v>
      </c>
      <c r="X62" s="79" t="str">
        <f>+DEC2HEX($N$37,2)</f>
        <v>CF</v>
      </c>
    </row>
    <row r="63" spans="1:24" ht="15.75" x14ac:dyDescent="0.25">
      <c r="A63" s="42"/>
      <c r="B63" s="41">
        <f t="shared" si="8"/>
        <v>8.2900000000000045</v>
      </c>
      <c r="C63" s="41">
        <f>+HEX2DEC(CONCATENATE($K$15,$L$15))/256+HEX2DEC(P15)*HEX2DEC($M$15)/256</f>
        <v>138.84765625</v>
      </c>
      <c r="D63" s="87">
        <v>0</v>
      </c>
      <c r="E63" s="55">
        <f t="shared" si="0"/>
        <v>138.84765625</v>
      </c>
      <c r="F63" s="44">
        <f>+HEX2DEC(CONCATENATE($K$48,$L$48))/256+HEX2DEC(P48)*HEX2DEC($M$48)/256</f>
        <v>138.7734375</v>
      </c>
      <c r="G63" s="44">
        <f t="shared" si="9"/>
        <v>8.2900000000000045</v>
      </c>
      <c r="H63" s="44"/>
      <c r="I63" s="41"/>
      <c r="J63" s="93"/>
      <c r="K63" s="91"/>
      <c r="L63" s="94"/>
      <c r="M63" s="69" t="str">
        <f>+DEC2HEX(O26,2)</f>
        <v>12</v>
      </c>
      <c r="N63" s="99" t="str">
        <f>+DEC2HEX(O27,2)</f>
        <v>16</v>
      </c>
      <c r="O63" s="99" t="str">
        <f>+DEC2HEX(O28,2)</f>
        <v>1A</v>
      </c>
      <c r="P63" s="99" t="str">
        <f>+DEC2HEX(O29,2)</f>
        <v>1A</v>
      </c>
      <c r="Q63" s="99" t="str">
        <f>+DEC2HEX(O30,2)</f>
        <v>1A</v>
      </c>
      <c r="R63" s="99" t="str">
        <f>+DEC2HEX(O31,2)</f>
        <v>1D</v>
      </c>
      <c r="S63" s="99" t="str">
        <f>+DEC2HEX(O32,2)</f>
        <v>1C</v>
      </c>
      <c r="T63" s="99" t="str">
        <f>+DEC2HEX(O33,2)</f>
        <v>1C</v>
      </c>
      <c r="U63" s="99" t="str">
        <f>+DEC2HEX(O34,2)</f>
        <v>1D</v>
      </c>
      <c r="V63" s="99" t="str">
        <f>+DEC2HEX($O$35,2)</f>
        <v>85</v>
      </c>
      <c r="W63" s="99" t="str">
        <f>+DEC2HEX($O$36,2)</f>
        <v>B1</v>
      </c>
      <c r="X63" s="99" t="str">
        <f>+DEC2HEX($O$37,2)</f>
        <v>D7</v>
      </c>
    </row>
    <row r="64" spans="1:24" ht="15.75" x14ac:dyDescent="0.25">
      <c r="A64" s="42"/>
      <c r="B64" s="41">
        <f t="shared" si="8"/>
        <v>8.4180000000000046</v>
      </c>
      <c r="C64" s="41">
        <f>+HEX2DEC(CONCATENATE($K$15,$L$15))/256+HEX2DEC(Q15)*HEX2DEC($M$15)/256</f>
        <v>145.05859375</v>
      </c>
      <c r="D64" s="87">
        <v>0</v>
      </c>
      <c r="E64" s="55">
        <f t="shared" si="0"/>
        <v>145.05859375</v>
      </c>
      <c r="F64" s="44">
        <f>+HEX2DEC(CONCATENATE($K$48,$L$48))/256+HEX2DEC(Q48)*HEX2DEC($M$48)/256</f>
        <v>144.984375</v>
      </c>
      <c r="G64" s="44">
        <f t="shared" si="9"/>
        <v>8.4180000000000046</v>
      </c>
      <c r="H64" s="44"/>
      <c r="I64" s="41"/>
      <c r="J64" s="93"/>
      <c r="K64" s="91"/>
      <c r="L64" s="94"/>
      <c r="M64" s="69" t="str">
        <f>+DEC2HEX(P26,2)</f>
        <v>27</v>
      </c>
      <c r="N64" s="99" t="str">
        <f>+DEC2HEX(P27,2)</f>
        <v>2D</v>
      </c>
      <c r="O64" s="99" t="str">
        <f>+DEC2HEX(P28,2)</f>
        <v>35</v>
      </c>
      <c r="P64" s="99" t="str">
        <f>+DEC2HEX(P29,2)</f>
        <v>36</v>
      </c>
      <c r="Q64" s="99" t="str">
        <f>+DEC2HEX(P30,2)</f>
        <v>37</v>
      </c>
      <c r="R64" s="99" t="str">
        <f>+DEC2HEX(P31,2)</f>
        <v>3A</v>
      </c>
      <c r="S64" s="99" t="str">
        <f>+DEC2HEX(P32,2)</f>
        <v>3A</v>
      </c>
      <c r="T64" s="99" t="str">
        <f>+DEC2HEX(P33,2)</f>
        <v>39</v>
      </c>
      <c r="U64" s="99" t="str">
        <f>+DEC2HEX(P34,2)</f>
        <v>3E</v>
      </c>
      <c r="V64" s="99" t="str">
        <f>+DEC2HEX($P$35,2)</f>
        <v>96</v>
      </c>
      <c r="W64" s="99" t="str">
        <f>+DEC2HEX($P$36,2)</f>
        <v>BC</v>
      </c>
      <c r="X64" s="99" t="str">
        <f>+DEC2HEX($P$37,2)</f>
        <v>E0</v>
      </c>
    </row>
    <row r="65" spans="1:24" ht="15.75" x14ac:dyDescent="0.25">
      <c r="A65" s="42"/>
      <c r="B65" s="41">
        <f t="shared" si="8"/>
        <v>8.5460000000000047</v>
      </c>
      <c r="C65" s="41">
        <f>+HEX2DEC(CONCATENATE($K$15,$L$15))/256+HEX2DEC(R15)*HEX2DEC($M$15)/256</f>
        <v>151.68359375</v>
      </c>
      <c r="D65" s="87">
        <v>0</v>
      </c>
      <c r="E65" s="55">
        <f t="shared" si="0"/>
        <v>151.68359375</v>
      </c>
      <c r="F65" s="44">
        <f>+HEX2DEC(CONCATENATE($K$48,$L$48))/256+HEX2DEC(R48)*HEX2DEC($M$48)/256</f>
        <v>151.609375</v>
      </c>
      <c r="G65" s="44">
        <f t="shared" si="9"/>
        <v>8.5460000000000047</v>
      </c>
      <c r="H65" s="44"/>
      <c r="I65" s="41"/>
      <c r="J65" s="93"/>
      <c r="K65" s="91"/>
      <c r="L65" s="94"/>
      <c r="M65" s="69" t="str">
        <f>+DEC2HEX(Q26,2)</f>
        <v>3E</v>
      </c>
      <c r="N65" s="99" t="str">
        <f>+DEC2HEX(Q27,2)</f>
        <v>46</v>
      </c>
      <c r="O65" s="99" t="str">
        <f>+DEC2HEX(Q28,2)</f>
        <v>53</v>
      </c>
      <c r="P65" s="99" t="str">
        <f>+DEC2HEX(Q29,2)</f>
        <v>53</v>
      </c>
      <c r="Q65" s="99" t="str">
        <f>+DEC2HEX(Q30,2)</f>
        <v>55</v>
      </c>
      <c r="R65" s="99" t="str">
        <f>+DEC2HEX(Q31,2)</f>
        <v>58</v>
      </c>
      <c r="S65" s="99" t="str">
        <f>+DEC2HEX(Q32,2)</f>
        <v>58</v>
      </c>
      <c r="T65" s="99" t="str">
        <f>+DEC2HEX(Q33,2)</f>
        <v>57</v>
      </c>
      <c r="U65" s="99" t="str">
        <f>+DEC2HEX(Q34,2)</f>
        <v>5D</v>
      </c>
      <c r="V65" s="99" t="str">
        <f>+DEC2HEX($Q$35,2)</f>
        <v>A7</v>
      </c>
      <c r="W65" s="99" t="str">
        <f>+DEC2HEX($Q$36,2)</f>
        <v>C7</v>
      </c>
      <c r="X65" s="99" t="str">
        <f>+DEC2HEX($Q$37,2)</f>
        <v>E9</v>
      </c>
    </row>
    <row r="66" spans="1:24" ht="15.75" x14ac:dyDescent="0.25">
      <c r="A66" s="42"/>
      <c r="B66" s="41">
        <f t="shared" si="8"/>
        <v>8.6740000000000048</v>
      </c>
      <c r="C66" s="41">
        <f>+HEX2DEC(CONCATENATE($K$15,$L$15))/256+HEX2DEC(S15)*HEX2DEC($M$15)/256</f>
        <v>158.30859375</v>
      </c>
      <c r="D66" s="87">
        <v>0</v>
      </c>
      <c r="E66" s="55">
        <f t="shared" si="0"/>
        <v>158.30859375</v>
      </c>
      <c r="F66" s="44">
        <f>+HEX2DEC(CONCATENATE($K$48,$L$48))/256+HEX2DEC(S48)*HEX2DEC($M$48)/256</f>
        <v>158.234375</v>
      </c>
      <c r="G66" s="44">
        <f t="shared" si="9"/>
        <v>8.6740000000000048</v>
      </c>
      <c r="H66" s="44"/>
      <c r="I66" s="41"/>
      <c r="J66" s="93"/>
      <c r="K66" s="91"/>
      <c r="L66" s="94"/>
      <c r="M66" s="69" t="str">
        <f>+DEC2HEX(R26,2)</f>
        <v>58</v>
      </c>
      <c r="N66" s="99" t="str">
        <f>+DEC2HEX(R27,2)</f>
        <v>62</v>
      </c>
      <c r="O66" s="99" t="str">
        <f>+DEC2HEX(R28,2)</f>
        <v>72</v>
      </c>
      <c r="P66" s="99" t="str">
        <f>+DEC2HEX(R29,2)</f>
        <v>72</v>
      </c>
      <c r="Q66" s="99" t="str">
        <f>+DEC2HEX(R30,2)</f>
        <v>74</v>
      </c>
      <c r="R66" s="99" t="str">
        <f>+DEC2HEX(R31,2)</f>
        <v>77</v>
      </c>
      <c r="S66" s="99" t="str">
        <f>+DEC2HEX(R32,2)</f>
        <v>78</v>
      </c>
      <c r="T66" s="99" t="str">
        <f>+DEC2HEX(R33,2)</f>
        <v>76</v>
      </c>
      <c r="U66" s="99" t="str">
        <f>+DEC2HEX(R34,2)</f>
        <v>7E</v>
      </c>
      <c r="V66" s="99" t="str">
        <f>+DEC2HEX($R$35,2)</f>
        <v>B9</v>
      </c>
      <c r="W66" s="99" t="str">
        <f>+DEC2HEX($R$36,2)</f>
        <v>D2</v>
      </c>
      <c r="X66" s="99" t="str">
        <f>+DEC2HEX($R$37,2)</f>
        <v>ED</v>
      </c>
    </row>
    <row r="67" spans="1:24" ht="15.75" x14ac:dyDescent="0.25">
      <c r="A67" s="42"/>
      <c r="B67" s="41">
        <f t="shared" si="8"/>
        <v>8.8020000000000049</v>
      </c>
      <c r="C67" s="41">
        <f>+HEX2DEC(CONCATENATE($K$15,$L$15))/256+HEX2DEC(T15)*HEX2DEC($M$15)/256</f>
        <v>164.93359375</v>
      </c>
      <c r="D67" s="87">
        <v>0</v>
      </c>
      <c r="E67" s="55">
        <f t="shared" si="0"/>
        <v>164.93359375</v>
      </c>
      <c r="F67" s="44">
        <f>+HEX2DEC(CONCATENATE($K$48,$L$48))/256+HEX2DEC(T48)*HEX2DEC($M$48)/256</f>
        <v>164.859375</v>
      </c>
      <c r="G67" s="44">
        <f t="shared" si="9"/>
        <v>8.8020000000000049</v>
      </c>
      <c r="H67" s="44"/>
      <c r="I67" s="41"/>
      <c r="J67" s="93"/>
      <c r="K67" s="91"/>
      <c r="L67" s="94"/>
      <c r="M67" s="69" t="str">
        <f>+DEC2HEX(S26,2)</f>
        <v>74</v>
      </c>
      <c r="N67" s="99" t="str">
        <f>+DEC2HEX(S27,2)</f>
        <v>7F</v>
      </c>
      <c r="O67" s="99" t="str">
        <f>+DEC2HEX(S28,2)</f>
        <v>92</v>
      </c>
      <c r="P67" s="99" t="str">
        <f>+DEC2HEX(S29,2)</f>
        <v>92</v>
      </c>
      <c r="Q67" s="99" t="str">
        <f>+DEC2HEX(S30,2)</f>
        <v>94</v>
      </c>
      <c r="R67" s="99" t="str">
        <f>+DEC2HEX(S31,2)</f>
        <v>97</v>
      </c>
      <c r="S67" s="99" t="str">
        <f>+DEC2HEX(S32,2)</f>
        <v>98</v>
      </c>
      <c r="T67" s="99" t="str">
        <f>+DEC2HEX(S33,2)</f>
        <v>96</v>
      </c>
      <c r="U67" s="99" t="str">
        <f>+DEC2HEX(S34,2)</f>
        <v>9D</v>
      </c>
      <c r="V67" s="99" t="str">
        <f>+DEC2HEX($S$35,2)</f>
        <v>CA</v>
      </c>
      <c r="W67" s="99" t="str">
        <f>+DEC2HEX($S$36,2)</f>
        <v>DE</v>
      </c>
      <c r="X67" s="99" t="str">
        <f>+DEC2HEX($S$37,2)</f>
        <v>F0</v>
      </c>
    </row>
    <row r="68" spans="1:24" ht="15.75" x14ac:dyDescent="0.25">
      <c r="A68" s="42"/>
      <c r="B68" s="41">
        <f t="shared" si="8"/>
        <v>8.930000000000005</v>
      </c>
      <c r="C68" s="41">
        <f>+HEX2DEC(CONCATENATE($K$15,$L$15))/256+HEX2DEC(U15)*HEX2DEC($M$15)/256</f>
        <v>171.97265625</v>
      </c>
      <c r="D68" s="87">
        <v>0</v>
      </c>
      <c r="E68" s="55">
        <f t="shared" si="0"/>
        <v>171.97265625</v>
      </c>
      <c r="F68" s="44">
        <f>+HEX2DEC(CONCATENATE($K$48,$L$48))/256+HEX2DEC(U48)*HEX2DEC($M$48)/256</f>
        <v>171.8984375</v>
      </c>
      <c r="G68" s="44">
        <f t="shared" si="9"/>
        <v>8.930000000000005</v>
      </c>
      <c r="H68" s="44"/>
      <c r="I68" s="41"/>
      <c r="J68" s="93"/>
      <c r="K68" s="91"/>
      <c r="L68" s="94"/>
      <c r="M68" s="69" t="str">
        <f>+DEC2HEX(T26,2)</f>
        <v>92</v>
      </c>
      <c r="N68" s="99" t="str">
        <f>+DEC2HEX(T27,2)</f>
        <v>A0</v>
      </c>
      <c r="O68" s="99" t="str">
        <f>+DEC2HEX(T28,2)</f>
        <v>B4</v>
      </c>
      <c r="P68" s="99" t="str">
        <f>+DEC2HEX(T29,2)</f>
        <v>B4</v>
      </c>
      <c r="Q68" s="99" t="str">
        <f>+DEC2HEX(T30,2)</f>
        <v>B6</v>
      </c>
      <c r="R68" s="99" t="str">
        <f>+DEC2HEX(T31,2)</f>
        <v>B9</v>
      </c>
      <c r="S68" s="99" t="str">
        <f>+DEC2HEX(T32,2)</f>
        <v>B8</v>
      </c>
      <c r="T68" s="99" t="str">
        <f>+DEC2HEX(T33,2)</f>
        <v>B8</v>
      </c>
      <c r="U68" s="99" t="str">
        <f>+DEC2HEX(T34,2)</f>
        <v>BE</v>
      </c>
      <c r="V68" s="99" t="str">
        <f>+DEC2HEX($T$35,2)</f>
        <v>DB</v>
      </c>
      <c r="W68" s="99" t="str">
        <f>+DEC2HEX($T$36,2)</f>
        <v>E9</v>
      </c>
      <c r="X68" s="99" t="str">
        <f>+DEC2HEX($T$37,2)</f>
        <v>F5</v>
      </c>
    </row>
    <row r="69" spans="1:24" ht="16.5" thickBot="1" x14ac:dyDescent="0.3">
      <c r="A69" s="51"/>
      <c r="B69" s="52">
        <f t="shared" si="8"/>
        <v>9.0580000000000052</v>
      </c>
      <c r="C69" s="52">
        <f>+HEX2DEC(CONCATENATE($K$15,$L$15))/256+HEX2DEC(V15)*HEX2DEC($M$15)/256</f>
        <v>179.21875</v>
      </c>
      <c r="D69" s="88">
        <v>0</v>
      </c>
      <c r="E69" s="72">
        <f t="shared" si="0"/>
        <v>179.21875</v>
      </c>
      <c r="F69" s="54">
        <f>+ROUND(HEX2DEC(CONCATENATE($K$48,$L$48))/256+HEX2DEC(V48)*HEX2DEC($M$48)/256,3)</f>
        <v>179.14500000000001</v>
      </c>
      <c r="G69" s="54">
        <f t="shared" si="9"/>
        <v>9.0580000000000052</v>
      </c>
      <c r="H69" s="54"/>
      <c r="I69" s="41"/>
      <c r="J69" s="93"/>
      <c r="K69" s="91"/>
      <c r="L69" s="94"/>
      <c r="M69" s="69" t="str">
        <f>+DEC2HEX(U26,2)</f>
        <v>B3</v>
      </c>
      <c r="N69" s="99" t="str">
        <f>+DEC2HEX(U27,2)</f>
        <v>C2</v>
      </c>
      <c r="O69" s="99" t="str">
        <f>+DEC2HEX(U28,2)</f>
        <v>D8</v>
      </c>
      <c r="P69" s="99" t="str">
        <f>+DEC2HEX(U29,2)</f>
        <v>D7</v>
      </c>
      <c r="Q69" s="99" t="str">
        <f>+DEC2HEX(U30,2)</f>
        <v>D8</v>
      </c>
      <c r="R69" s="99" t="str">
        <f>+DEC2HEX(U31,2)</f>
        <v>DB</v>
      </c>
      <c r="S69" s="99" t="str">
        <f>+DEC2HEX(U32,2)</f>
        <v>DA</v>
      </c>
      <c r="T69" s="99" t="str">
        <f>+DEC2HEX(U33,2)</f>
        <v>DA</v>
      </c>
      <c r="U69" s="99" t="str">
        <f>+DEC2HEX(U34,2)</f>
        <v>DC</v>
      </c>
      <c r="V69" s="99" t="str">
        <f>+DEC2HEX($U$35,2)</f>
        <v>EC</v>
      </c>
      <c r="W69" s="99" t="str">
        <f>+DEC2HEX($U$36,2)</f>
        <v>F4</v>
      </c>
      <c r="X69" s="99" t="str">
        <f>+DEC2HEX($U$37,2)</f>
        <v>FB</v>
      </c>
    </row>
    <row r="70" spans="1:24" ht="16.5" thickBot="1" x14ac:dyDescent="0.3">
      <c r="A70" s="37" t="s">
        <v>72</v>
      </c>
      <c r="B70" s="38">
        <f t="shared" ref="B70" si="48">+B69</f>
        <v>9.0580000000000052</v>
      </c>
      <c r="C70" s="38">
        <f>+HEX2DEC(CONCATENATE($K$16,$L$16))/256+HEX2DEC(N16)*HEX2DEC($M$16)/256</f>
        <v>179.3046875</v>
      </c>
      <c r="D70" s="89">
        <f t="shared" ref="D70:D114" si="49">+D69</f>
        <v>0</v>
      </c>
      <c r="E70" s="90">
        <f>+E69+H70</f>
        <v>179.21875</v>
      </c>
      <c r="F70" s="40">
        <f>+ROUND(HEX2DEC(CONCATENATE($K$49,$L$49))/256+HEX2DEC(N49)*HEX2DEC($M$49)/256,3)</f>
        <v>179.21899999999999</v>
      </c>
      <c r="G70" s="40">
        <f t="shared" ref="G70" si="50">+G69</f>
        <v>9.0580000000000052</v>
      </c>
      <c r="H70" s="40"/>
      <c r="I70" s="41"/>
      <c r="J70" s="95"/>
      <c r="K70" s="92"/>
      <c r="L70" s="96"/>
      <c r="M70" s="98" t="str">
        <f>+DEC2HEX(V26,2)</f>
        <v>D5</v>
      </c>
      <c r="N70" s="98" t="str">
        <f>+DEC2HEX(V27,2)</f>
        <v>E7</v>
      </c>
      <c r="O70" s="98" t="str">
        <f>+DEC2HEX(V28,2)</f>
        <v>FD</v>
      </c>
      <c r="P70" s="98" t="str">
        <f>+DEC2HEX(V29,2)</f>
        <v>FC</v>
      </c>
      <c r="Q70" s="98" t="str">
        <f>+DEC2HEX(V30,2)</f>
        <v>FC</v>
      </c>
      <c r="R70" s="98" t="str">
        <f>+DEC2HEX(V31,2)</f>
        <v>FE</v>
      </c>
      <c r="S70" s="98" t="str">
        <f>+DEC2HEX(V32,2)</f>
        <v>FD</v>
      </c>
      <c r="T70" s="102" t="str">
        <f>+DEC2HEX(V33,2)</f>
        <v>FE</v>
      </c>
      <c r="U70" s="102" t="str">
        <f>+DEC2HEX(V34,2)</f>
        <v>FD</v>
      </c>
      <c r="V70" s="102" t="str">
        <f>+DEC2HEX($V$35,2)</f>
        <v>FF</v>
      </c>
      <c r="W70" s="102" t="str">
        <f>+DEC2HEX($V$36,2)</f>
        <v>FF</v>
      </c>
      <c r="X70" s="102" t="str">
        <f>+DEC2HEX($V$37,2)</f>
        <v>FF</v>
      </c>
    </row>
    <row r="71" spans="1:24" ht="15.75" x14ac:dyDescent="0.25">
      <c r="A71" s="42"/>
      <c r="B71" s="41">
        <f t="shared" ref="B71" si="51">0.128+B70</f>
        <v>9.1860000000000053</v>
      </c>
      <c r="C71" s="41">
        <f>+HEX2DEC(CONCATENATE($K$16,$L$16))/256+HEX2DEC(O16)*HEX2DEC($M$16)/256</f>
        <v>186.6328125</v>
      </c>
      <c r="D71" s="87">
        <v>0</v>
      </c>
      <c r="E71" s="55">
        <f t="shared" si="0"/>
        <v>186.6328125</v>
      </c>
      <c r="F71" s="44">
        <f>+HEX2DEC(CONCATENATE($K$49,$L$49))/256+HEX2DEC(O49)*HEX2DEC($M$49)/256</f>
        <v>186.546875</v>
      </c>
      <c r="G71" s="44">
        <f t="shared" ref="G71" si="52">0.128+G70</f>
        <v>9.1860000000000053</v>
      </c>
      <c r="H71" s="44"/>
      <c r="I71" s="41"/>
      <c r="J71" s="41"/>
    </row>
    <row r="72" spans="1:24" ht="15.75" x14ac:dyDescent="0.25">
      <c r="A72" s="42"/>
      <c r="B72" s="41">
        <f t="shared" si="8"/>
        <v>9.3140000000000054</v>
      </c>
      <c r="C72" s="41">
        <f>+HEX2DEC(CONCATENATE($K$16,$L$16))/256+HEX2DEC(P16)*HEX2DEC($M$16)/256</f>
        <v>194.22265625</v>
      </c>
      <c r="D72" s="87">
        <v>0</v>
      </c>
      <c r="E72" s="55">
        <f t="shared" ref="E72:E78" si="53">+C72*(1+D72/100)</f>
        <v>194.22265625</v>
      </c>
      <c r="F72" s="44">
        <f>+HEX2DEC(CONCATENATE($K$49,$L$49))/256+HEX2DEC(P49)*HEX2DEC($M$49)/256</f>
        <v>194.13671875</v>
      </c>
      <c r="G72" s="44">
        <f t="shared" si="9"/>
        <v>9.3140000000000054</v>
      </c>
      <c r="H72" s="44"/>
      <c r="I72" s="41"/>
      <c r="J72" s="41"/>
    </row>
    <row r="73" spans="1:24" ht="15.75" x14ac:dyDescent="0.25">
      <c r="A73" s="42"/>
      <c r="B73" s="41">
        <f t="shared" si="8"/>
        <v>9.4420000000000055</v>
      </c>
      <c r="C73" s="41">
        <f>+HEX2DEC(CONCATENATE($K$16,$L$16))/256+HEX2DEC(Q16)*HEX2DEC($M$16)/256</f>
        <v>202.07421875</v>
      </c>
      <c r="D73" s="87">
        <v>0</v>
      </c>
      <c r="E73" s="55">
        <f t="shared" si="53"/>
        <v>202.07421875</v>
      </c>
      <c r="F73" s="44">
        <f>+HEX2DEC(CONCATENATE($K$49,$L$49))/256+HEX2DEC(Q49)*HEX2DEC($M$49)/256</f>
        <v>201.98828125</v>
      </c>
      <c r="G73" s="44">
        <f t="shared" si="9"/>
        <v>9.4420000000000055</v>
      </c>
      <c r="H73" s="44"/>
      <c r="I73" s="41"/>
      <c r="J73" s="41"/>
    </row>
    <row r="74" spans="1:24" ht="15.75" x14ac:dyDescent="0.25">
      <c r="A74" s="42"/>
      <c r="B74" s="41">
        <f t="shared" si="8"/>
        <v>9.5700000000000056</v>
      </c>
      <c r="C74" s="41">
        <f>+HEX2DEC(CONCATENATE($K$16,$L$16))/256+HEX2DEC(R16)*HEX2DEC($M$16)/256</f>
        <v>210.1875</v>
      </c>
      <c r="D74" s="87">
        <v>0</v>
      </c>
      <c r="E74" s="55">
        <f t="shared" si="53"/>
        <v>210.1875</v>
      </c>
      <c r="F74" s="44">
        <f>+HEX2DEC(CONCATENATE($K$49,$L$49))/256+HEX2DEC(R49)*HEX2DEC($M$49)/256</f>
        <v>210.1015625</v>
      </c>
      <c r="G74" s="44">
        <f t="shared" si="9"/>
        <v>9.5700000000000056</v>
      </c>
      <c r="H74" s="44"/>
      <c r="I74" s="41"/>
      <c r="J74" s="41"/>
    </row>
    <row r="75" spans="1:24" ht="15.75" x14ac:dyDescent="0.25">
      <c r="A75" s="42"/>
      <c r="B75" s="41">
        <f t="shared" si="8"/>
        <v>9.6980000000000057</v>
      </c>
      <c r="C75" s="41">
        <f>+HEX2DEC(CONCATENATE($K$16,$L$16))/256+HEX2DEC(S16)*HEX2DEC($M$16)/256</f>
        <v>218.5625</v>
      </c>
      <c r="D75" s="87">
        <v>0</v>
      </c>
      <c r="E75" s="55">
        <f t="shared" si="53"/>
        <v>218.5625</v>
      </c>
      <c r="F75" s="44">
        <f>+HEX2DEC(CONCATENATE($K$49,$L$49))/256+HEX2DEC(S49)*HEX2DEC($M$49)/256</f>
        <v>218.4765625</v>
      </c>
      <c r="G75" s="44">
        <f t="shared" si="9"/>
        <v>9.6980000000000057</v>
      </c>
      <c r="H75" s="44"/>
      <c r="I75" s="41"/>
      <c r="J75" s="41"/>
    </row>
    <row r="76" spans="1:24" ht="15.75" x14ac:dyDescent="0.25">
      <c r="A76" s="42"/>
      <c r="B76" s="41">
        <f t="shared" si="8"/>
        <v>9.8260000000000058</v>
      </c>
      <c r="C76" s="41">
        <f>+HEX2DEC(CONCATENATE($K$16,$L$16))/256+HEX2DEC(T16)*HEX2DEC($M$16)/256</f>
        <v>227.4609375</v>
      </c>
      <c r="D76" s="87">
        <v>0</v>
      </c>
      <c r="E76" s="55">
        <f t="shared" si="53"/>
        <v>227.4609375</v>
      </c>
      <c r="F76" s="44">
        <f>+HEX2DEC(CONCATENATE($K$49,$L$49))/256+HEX2DEC(T49)*HEX2DEC($M$49)/256</f>
        <v>227.375</v>
      </c>
      <c r="G76" s="44">
        <f t="shared" si="9"/>
        <v>9.8260000000000058</v>
      </c>
      <c r="H76" s="44"/>
      <c r="I76" s="41"/>
      <c r="J76" s="41"/>
    </row>
    <row r="77" spans="1:24" ht="15.75" x14ac:dyDescent="0.25">
      <c r="A77" s="42"/>
      <c r="B77" s="41">
        <f t="shared" si="8"/>
        <v>9.954000000000006</v>
      </c>
      <c r="C77" s="41">
        <f>+HEX2DEC(CONCATENATE($K$16,$L$16))/256+HEX2DEC(U16)*HEX2DEC($M$16)/256</f>
        <v>236.359375</v>
      </c>
      <c r="D77" s="87">
        <v>0</v>
      </c>
      <c r="E77" s="55">
        <f t="shared" si="53"/>
        <v>236.359375</v>
      </c>
      <c r="F77" s="44">
        <f>+HEX2DEC(CONCATENATE($K$49,$L$49))/256+HEX2DEC(U49)*HEX2DEC($M$49)/256</f>
        <v>236.2734375</v>
      </c>
      <c r="G77" s="44">
        <f t="shared" si="9"/>
        <v>9.954000000000006</v>
      </c>
      <c r="H77" s="44"/>
      <c r="I77" s="41"/>
      <c r="J77" s="41"/>
    </row>
    <row r="78" spans="1:24" ht="16.5" thickBot="1" x14ac:dyDescent="0.3">
      <c r="A78" s="51"/>
      <c r="B78" s="52">
        <f t="shared" si="8"/>
        <v>10.082000000000006</v>
      </c>
      <c r="C78" s="52">
        <f>+HEX2DEC(CONCATENATE($K$16,$L$16))/256+HEX2DEC(V16)*HEX2DEC($M$16)/256</f>
        <v>245.78125</v>
      </c>
      <c r="D78" s="88">
        <v>0</v>
      </c>
      <c r="E78" s="72">
        <f t="shared" si="53"/>
        <v>245.78125</v>
      </c>
      <c r="F78" s="54">
        <f>+ROUND(HEX2DEC(CONCATENATE($K$49,$L$49))/256+HEX2DEC(V49)*HEX2DEC($M$49)/256,3)</f>
        <v>245.69499999999999</v>
      </c>
      <c r="G78" s="54">
        <f t="shared" si="9"/>
        <v>10.082000000000006</v>
      </c>
      <c r="H78" s="54"/>
      <c r="I78" s="41"/>
      <c r="J78" s="41"/>
    </row>
    <row r="79" spans="1:24" ht="15.75" x14ac:dyDescent="0.25">
      <c r="A79" s="37" t="s">
        <v>177</v>
      </c>
      <c r="B79" s="38">
        <f t="shared" ref="B79" si="54">+B78</f>
        <v>10.082000000000006</v>
      </c>
      <c r="C79" s="38">
        <f>+HEX2DEC(CONCATENATE($K$17,$L$17))/256+HEX2DEC(N17)*HEX2DEC($M$17)/256</f>
        <v>246.65625</v>
      </c>
      <c r="D79" s="89">
        <f t="shared" ref="D79:D114" si="55">+D78</f>
        <v>0</v>
      </c>
      <c r="E79" s="90">
        <f>IF(+E78+H79&gt;=510,510,E78+H79)</f>
        <v>245.78125</v>
      </c>
      <c r="F79" s="40">
        <f>+ROUND(HEX2DEC(CONCATENATE($K$50,$L$50))/256+HEX2DEC(N50)*HEX2DEC($M$50)/256,3)</f>
        <v>245.78100000000001</v>
      </c>
      <c r="G79" s="97">
        <f>G78</f>
        <v>10.082000000000006</v>
      </c>
      <c r="H79" s="40"/>
      <c r="I79" s="41"/>
    </row>
    <row r="80" spans="1:24" ht="15.75" x14ac:dyDescent="0.25">
      <c r="A80" s="42"/>
      <c r="B80" s="41">
        <f t="shared" ref="B80:B87" si="56">0.128+B79</f>
        <v>10.210000000000006</v>
      </c>
      <c r="C80" s="41">
        <f>+HEX2DEC(CONCATENATE($K$17,$L$17))/256+HEX2DEC(O17)*HEX2DEC($M$17)/256</f>
        <v>253.9609375</v>
      </c>
      <c r="D80" s="87">
        <v>0</v>
      </c>
      <c r="E80" s="55">
        <f>+IF(C80*(1+D80/100)&gt;=510,510,+C80*(1+D80/100))</f>
        <v>253.9609375</v>
      </c>
      <c r="F80" s="44">
        <f>+HEX2DEC(CONCATENATE($K$50,$L$50))/256+HEX2DEC(O50)*HEX2DEC($M$50)/256</f>
        <v>253.9375</v>
      </c>
      <c r="G80" s="41">
        <f t="shared" si="9"/>
        <v>10.210000000000006</v>
      </c>
      <c r="H80" s="44"/>
      <c r="I80" s="41"/>
    </row>
    <row r="81" spans="1:9" ht="15.75" x14ac:dyDescent="0.25">
      <c r="A81" s="42"/>
      <c r="B81" s="41">
        <f t="shared" si="56"/>
        <v>10.338000000000006</v>
      </c>
      <c r="C81" s="41">
        <f>+HEX2DEC(CONCATENATE($K$17,$L$17))/256+HEX2DEC(P17)*HEX2DEC($M$17)/256</f>
        <v>263.2578125</v>
      </c>
      <c r="D81" s="87">
        <v>0</v>
      </c>
      <c r="E81" s="55">
        <f t="shared" ref="E81:E86" si="57">+IF(C81*(1+D81/100)&gt;=510,510,+C81*(1+D81/100))</f>
        <v>263.2578125</v>
      </c>
      <c r="F81" s="103">
        <f>+HEX2DEC(CONCATENATE($K$50,$L$50))/256+HEX2DEC(P50)*HEX2DEC($M$50)/256</f>
        <v>263.21875</v>
      </c>
      <c r="G81" s="41">
        <f t="shared" si="9"/>
        <v>10.338000000000006</v>
      </c>
      <c r="H81" s="44"/>
      <c r="I81" s="41"/>
    </row>
    <row r="82" spans="1:9" ht="15.75" x14ac:dyDescent="0.25">
      <c r="A82" s="42"/>
      <c r="B82" s="41">
        <f t="shared" si="56"/>
        <v>10.466000000000006</v>
      </c>
      <c r="C82" s="41">
        <f>+HEX2DEC(CONCATENATE($K$17,$L$17))/256+HEX2DEC(Q17)*HEX2DEC($M$17)/256</f>
        <v>271.890625</v>
      </c>
      <c r="D82" s="87">
        <v>0</v>
      </c>
      <c r="E82" s="55">
        <f t="shared" si="57"/>
        <v>271.890625</v>
      </c>
      <c r="F82" s="103">
        <f>+HEX2DEC(CONCATENATE($K$50,$L$50))/256+HEX2DEC(Q50)*HEX2DEC($M$50)/256</f>
        <v>271.9375</v>
      </c>
      <c r="G82" s="41">
        <f t="shared" si="9"/>
        <v>10.466000000000006</v>
      </c>
      <c r="H82" s="44"/>
      <c r="I82" s="41"/>
    </row>
    <row r="83" spans="1:9" ht="15.75" x14ac:dyDescent="0.25">
      <c r="A83" s="42"/>
      <c r="B83" s="41">
        <f t="shared" si="56"/>
        <v>10.594000000000007</v>
      </c>
      <c r="C83" s="41">
        <f>+HEX2DEC(CONCATENATE($K$17,$L$17))/256+HEX2DEC(R17)*HEX2DEC($M$17)/256</f>
        <v>281.1875</v>
      </c>
      <c r="D83" s="87">
        <v>0</v>
      </c>
      <c r="E83" s="55">
        <f t="shared" si="57"/>
        <v>281.1875</v>
      </c>
      <c r="F83" s="103">
        <f>+HEX2DEC(CONCATENATE($K$50,$L$50))/256+HEX2DEC(R50)*HEX2DEC($M$50)/256</f>
        <v>281.21875</v>
      </c>
      <c r="G83" s="103">
        <f t="shared" si="9"/>
        <v>10.594000000000007</v>
      </c>
      <c r="H83" s="44"/>
      <c r="I83" s="41"/>
    </row>
    <row r="84" spans="1:9" ht="15.75" x14ac:dyDescent="0.25">
      <c r="A84" s="42"/>
      <c r="B84" s="41">
        <f t="shared" si="56"/>
        <v>10.722000000000007</v>
      </c>
      <c r="C84" s="41">
        <f>+HEX2DEC(CONCATENATE($K$17,$L$17))/256+HEX2DEC(S17)*HEX2DEC($M$17)/256</f>
        <v>289.8203125</v>
      </c>
      <c r="D84" s="87">
        <v>0</v>
      </c>
      <c r="E84" s="55">
        <f t="shared" si="57"/>
        <v>289.8203125</v>
      </c>
      <c r="F84" s="103">
        <f>+HEX2DEC(CONCATENATE($K$50,$L$50))/256+HEX2DEC(S50)*HEX2DEC($M$50)/256</f>
        <v>289.9375</v>
      </c>
      <c r="G84" s="103">
        <f t="shared" si="9"/>
        <v>10.722000000000007</v>
      </c>
      <c r="H84" s="44"/>
      <c r="I84" s="41"/>
    </row>
    <row r="85" spans="1:9" ht="15.75" x14ac:dyDescent="0.25">
      <c r="A85" s="42"/>
      <c r="B85" s="41">
        <f t="shared" si="56"/>
        <v>10.850000000000007</v>
      </c>
      <c r="C85" s="41">
        <f>+HEX2DEC(CONCATENATE($K$17,$L$17))/256+HEX2DEC(T17)*HEX2DEC($M$17)/256</f>
        <v>299.1171875</v>
      </c>
      <c r="D85" s="87">
        <v>0</v>
      </c>
      <c r="E85" s="55">
        <f t="shared" si="57"/>
        <v>299.1171875</v>
      </c>
      <c r="F85" s="103">
        <f>+HEX2DEC(CONCATENATE($K$50,$L$50))/256+HEX2DEC(T50)*HEX2DEC($M$50)/256</f>
        <v>299.21875</v>
      </c>
      <c r="G85" s="41">
        <f t="shared" si="9"/>
        <v>10.850000000000007</v>
      </c>
      <c r="H85" s="44"/>
      <c r="I85" s="41"/>
    </row>
    <row r="86" spans="1:9" ht="15.75" x14ac:dyDescent="0.25">
      <c r="A86" s="42"/>
      <c r="B86" s="41">
        <f t="shared" si="56"/>
        <v>10.978000000000007</v>
      </c>
      <c r="C86" s="41">
        <f>+HEX2DEC(CONCATENATE($K$17,$L$17))/256+HEX2DEC(U17)*HEX2DEC($M$17)/256</f>
        <v>307.75</v>
      </c>
      <c r="D86" s="87">
        <v>0</v>
      </c>
      <c r="E86" s="55">
        <f t="shared" si="57"/>
        <v>307.75</v>
      </c>
      <c r="F86" s="103">
        <f>+HEX2DEC(CONCATENATE($K$50,$L$50))/256+HEX2DEC(U50)*HEX2DEC($M$50)/256</f>
        <v>307.65625</v>
      </c>
      <c r="G86" s="41">
        <f t="shared" si="9"/>
        <v>10.978000000000007</v>
      </c>
      <c r="H86" s="44"/>
      <c r="I86" s="41"/>
    </row>
    <row r="87" spans="1:9" ht="16.5" thickBot="1" x14ac:dyDescent="0.3">
      <c r="A87" s="51"/>
      <c r="B87" s="52">
        <f t="shared" si="56"/>
        <v>11.106000000000007</v>
      </c>
      <c r="C87" s="52">
        <f>+HEX2DEC(CONCATENATE($K$17,$L$17))/256+HEX2DEC(V17)*HEX2DEC($M$17)/256</f>
        <v>317.046875</v>
      </c>
      <c r="D87" s="88">
        <v>0</v>
      </c>
      <c r="E87" s="72">
        <f>+IF(C87*(1+D87/100)&gt;=510,510,+C87*(1+D87/100))</f>
        <v>317.046875</v>
      </c>
      <c r="F87" s="54">
        <f>+ROUND(HEX2DEC(CONCATENATE($K$50,$L$50))/256+HEX2DEC(V50)*HEX2DEC($M$50)/256,3)</f>
        <v>316.93799999999999</v>
      </c>
      <c r="G87" s="104">
        <f t="shared" si="9"/>
        <v>11.106000000000007</v>
      </c>
      <c r="H87" s="54"/>
      <c r="I87" s="41"/>
    </row>
    <row r="88" spans="1:9" ht="15.75" x14ac:dyDescent="0.25">
      <c r="A88" s="37" t="s">
        <v>176</v>
      </c>
      <c r="B88" s="38">
        <f t="shared" ref="B88" si="58">+B87</f>
        <v>11.106000000000007</v>
      </c>
      <c r="C88" s="38">
        <f>+HEX2DEC(CONCATENATE($K$18,$L$18))/256+HEX2DEC(N18)*HEX2DEC($M$18)/256</f>
        <v>317.75390625</v>
      </c>
      <c r="D88" s="89">
        <f t="shared" ref="D88:D114" si="59">+D87</f>
        <v>0</v>
      </c>
      <c r="E88" s="90">
        <f>IF(+E87+H88&gt;=510,510,E87+H88)</f>
        <v>317.046875</v>
      </c>
      <c r="F88" s="40">
        <f>+ROUND(HEX2DEC(CONCATENATE($K$51,$L$51))/256+HEX2DEC(N51)*HEX2DEC($M$51)/256,3)</f>
        <v>317.238</v>
      </c>
      <c r="G88" s="97">
        <f>G87</f>
        <v>11.106000000000007</v>
      </c>
      <c r="H88" s="40"/>
      <c r="I88" s="41"/>
    </row>
    <row r="89" spans="1:9" ht="15.75" x14ac:dyDescent="0.25">
      <c r="A89" s="42"/>
      <c r="B89" s="41">
        <f t="shared" ref="B89:B114" si="60">0.128+B88</f>
        <v>11.234000000000007</v>
      </c>
      <c r="C89" s="41">
        <f>+HEX2DEC(CONCATENATE($K$18,$L$18))/256+HEX2DEC(O18)*HEX2DEC($M$18)/256</f>
        <v>325.72265625</v>
      </c>
      <c r="D89" s="87">
        <v>0</v>
      </c>
      <c r="E89" s="55">
        <f>+IF(C89*(1+D89/100)&gt;=510,510,+C89*(1+D89/100))</f>
        <v>325.72265625</v>
      </c>
      <c r="F89" s="44">
        <f>+HEX2DEC(CONCATENATE($K$51,$L$51))/256+HEX2DEC(O51)*HEX2DEC($M$51)/256</f>
        <v>325.61328125</v>
      </c>
      <c r="G89" s="103">
        <f t="shared" si="9"/>
        <v>11.234000000000007</v>
      </c>
      <c r="H89" s="44"/>
      <c r="I89" s="41"/>
    </row>
    <row r="90" spans="1:9" ht="15.75" x14ac:dyDescent="0.25">
      <c r="A90" s="42"/>
      <c r="B90" s="41">
        <f t="shared" si="60"/>
        <v>11.362000000000007</v>
      </c>
      <c r="C90" s="41">
        <f>+HEX2DEC(CONCATENATE($K$18,$L$18))/256+HEX2DEC(P18)*HEX2DEC($M$18)/256</f>
        <v>334.6875</v>
      </c>
      <c r="D90" s="87">
        <v>0</v>
      </c>
      <c r="E90" s="55">
        <f t="shared" ref="E90:E95" si="61">+IF(C90*(1+D90/100)&gt;=510,510,+C90*(1+D90/100))</f>
        <v>334.6875</v>
      </c>
      <c r="F90" s="44">
        <f>+HEX2DEC(CONCATENATE($K$51,$L$51))/256+HEX2DEC(P51)*HEX2DEC($M$51)/256</f>
        <v>334.51171875</v>
      </c>
      <c r="G90" s="103">
        <f t="shared" ref="G90:G114" si="62">0.128+G89</f>
        <v>11.362000000000007</v>
      </c>
      <c r="H90" s="44"/>
      <c r="I90" s="41"/>
    </row>
    <row r="91" spans="1:9" ht="15.75" x14ac:dyDescent="0.25">
      <c r="A91" s="42"/>
      <c r="B91" s="41">
        <f t="shared" si="60"/>
        <v>11.490000000000007</v>
      </c>
      <c r="C91" s="41">
        <f>+HEX2DEC(CONCATENATE($K$18,$L$18))/256+HEX2DEC(Q18)*HEX2DEC($M$18)/256</f>
        <v>343.65234375</v>
      </c>
      <c r="D91" s="87">
        <v>0</v>
      </c>
      <c r="E91" s="55">
        <f t="shared" si="61"/>
        <v>343.65234375</v>
      </c>
      <c r="F91" s="44">
        <f>+HEX2DEC(CONCATENATE($K$51,$L$51))/256+HEX2DEC(Q51)*HEX2DEC($M$51)/256</f>
        <v>343.41015625</v>
      </c>
      <c r="G91" s="103">
        <f t="shared" si="62"/>
        <v>11.490000000000007</v>
      </c>
      <c r="H91" s="44"/>
      <c r="I91" s="41"/>
    </row>
    <row r="92" spans="1:9" ht="15.75" x14ac:dyDescent="0.25">
      <c r="A92" s="42"/>
      <c r="B92" s="41">
        <f t="shared" si="60"/>
        <v>11.618000000000007</v>
      </c>
      <c r="C92" s="41">
        <f>+HEX2DEC(CONCATENATE($K$18,$L$18))/256+HEX2DEC(R18)*HEX2DEC($M$18)/256</f>
        <v>352.6171875</v>
      </c>
      <c r="D92" s="87">
        <v>0</v>
      </c>
      <c r="E92" s="55">
        <f t="shared" si="61"/>
        <v>352.6171875</v>
      </c>
      <c r="F92" s="44">
        <f>+HEX2DEC(CONCATENATE($K$51,$L$51))/256+HEX2DEC(R51)*HEX2DEC($M$51)/256</f>
        <v>352.83203125</v>
      </c>
      <c r="G92" s="103">
        <f t="shared" si="62"/>
        <v>11.618000000000007</v>
      </c>
      <c r="H92" s="44"/>
      <c r="I92" s="41"/>
    </row>
    <row r="93" spans="1:9" ht="15.75" x14ac:dyDescent="0.25">
      <c r="A93" s="42"/>
      <c r="B93" s="41">
        <f t="shared" si="60"/>
        <v>11.746000000000008</v>
      </c>
      <c r="C93" s="41">
        <f>+HEX2DEC(CONCATENATE($K$18,$L$18))/256+HEX2DEC(S18)*HEX2DEC($M$18)/256</f>
        <v>361.58203125</v>
      </c>
      <c r="D93" s="87">
        <v>0</v>
      </c>
      <c r="E93" s="55">
        <f t="shared" si="61"/>
        <v>361.58203125</v>
      </c>
      <c r="F93" s="44">
        <f>+HEX2DEC(CONCATENATE($K$51,$L$51))/256+HEX2DEC(S51)*HEX2DEC($M$51)/256</f>
        <v>361.73046875</v>
      </c>
      <c r="G93" s="103">
        <f t="shared" si="62"/>
        <v>11.746000000000008</v>
      </c>
      <c r="H93" s="44"/>
      <c r="I93" s="41"/>
    </row>
    <row r="94" spans="1:9" ht="15.75" x14ac:dyDescent="0.25">
      <c r="A94" s="42"/>
      <c r="B94" s="41">
        <f t="shared" si="60"/>
        <v>11.874000000000008</v>
      </c>
      <c r="C94" s="41">
        <f>+HEX2DEC(CONCATENATE($K$18,$L$18))/256+HEX2DEC(T18)*HEX2DEC($M$18)/256</f>
        <v>370.546875</v>
      </c>
      <c r="D94" s="87">
        <v>0</v>
      </c>
      <c r="E94" s="55">
        <f t="shared" si="61"/>
        <v>370.546875</v>
      </c>
      <c r="F94" s="44">
        <f>+HEX2DEC(CONCATENATE($K$51,$L$51))/256+HEX2DEC(T51)*HEX2DEC($M$51)/256</f>
        <v>370.62890625</v>
      </c>
      <c r="G94" s="103">
        <f t="shared" si="62"/>
        <v>11.874000000000008</v>
      </c>
      <c r="H94" s="44"/>
      <c r="I94" s="41"/>
    </row>
    <row r="95" spans="1:9" ht="15.75" x14ac:dyDescent="0.25">
      <c r="A95" s="42"/>
      <c r="B95" s="41">
        <f t="shared" si="60"/>
        <v>12.002000000000008</v>
      </c>
      <c r="C95" s="41">
        <f>+HEX2DEC(CONCATENATE($K$18,$L$18))/256+HEX2DEC(U18)*HEX2DEC($M$18)/256</f>
        <v>379.51171875</v>
      </c>
      <c r="D95" s="87">
        <v>0</v>
      </c>
      <c r="E95" s="55">
        <f t="shared" si="61"/>
        <v>379.51171875</v>
      </c>
      <c r="F95" s="44">
        <f>+HEX2DEC(CONCATENATE($K$51,$L$51))/256+HEX2DEC(U51)*HEX2DEC($M$51)/256</f>
        <v>379.52734375</v>
      </c>
      <c r="G95" s="103">
        <f t="shared" si="62"/>
        <v>12.002000000000008</v>
      </c>
      <c r="H95" s="44"/>
      <c r="I95" s="41"/>
    </row>
    <row r="96" spans="1:9" ht="16.5" thickBot="1" x14ac:dyDescent="0.3">
      <c r="A96" s="51"/>
      <c r="B96" s="52">
        <f t="shared" si="60"/>
        <v>12.130000000000008</v>
      </c>
      <c r="C96" s="52">
        <f>+HEX2DEC(CONCATENATE($K$18,$L$18))/256+HEX2DEC(V18)*HEX2DEC($M$18)/256</f>
        <v>389.47265625</v>
      </c>
      <c r="D96" s="88">
        <v>0</v>
      </c>
      <c r="E96" s="72">
        <f>+IF(C96*(1+D96/100)&gt;=510,510,+C96*(1+D96/100))</f>
        <v>389.47265625</v>
      </c>
      <c r="F96" s="54">
        <f>+ROUND(HEX2DEC(CONCATENATE($K$51,$L$51))/256+HEX2DEC(V51)*HEX2DEC($M$51)/256,3)</f>
        <v>389.47300000000001</v>
      </c>
      <c r="G96" s="54">
        <f t="shared" si="62"/>
        <v>12.130000000000008</v>
      </c>
      <c r="H96" s="54"/>
      <c r="I96" s="41"/>
    </row>
    <row r="97" spans="1:9" ht="15.75" x14ac:dyDescent="0.25">
      <c r="A97" s="37" t="s">
        <v>182</v>
      </c>
      <c r="B97" s="38">
        <f t="shared" ref="B97" si="63">+B96</f>
        <v>12.130000000000008</v>
      </c>
      <c r="C97" s="38">
        <f>+HEX2DEC(CONCATENATE($K$19,$L$19))/256+HEX2DEC(N19)*HEX2DEC($M$19)/256</f>
        <v>389.47265625</v>
      </c>
      <c r="D97" s="89">
        <f t="shared" ref="D97:D114" si="64">+D96</f>
        <v>0</v>
      </c>
      <c r="E97" s="90">
        <f>IF(+E96+H97&gt;=510,510,E96+H97)</f>
        <v>389.47265625</v>
      </c>
      <c r="F97" s="40">
        <f>+ROUND(HEX2DEC(CONCATENATE($K$52,$L$52))/256+HEX2DEC(N52)*HEX2DEC($M$52)/256,3)</f>
        <v>389.57400000000001</v>
      </c>
      <c r="G97" s="44">
        <f>G96</f>
        <v>12.130000000000008</v>
      </c>
      <c r="H97" s="40"/>
      <c r="I97" s="41"/>
    </row>
    <row r="98" spans="1:9" ht="15.75" x14ac:dyDescent="0.25">
      <c r="A98" s="42"/>
      <c r="B98" s="41">
        <f t="shared" si="60"/>
        <v>12.258000000000008</v>
      </c>
      <c r="C98" s="41">
        <f>+HEX2DEC(CONCATENATE($K$19,$L$19))/256+HEX2DEC(O19)*HEX2DEC($M$19)/256</f>
        <v>398.4375</v>
      </c>
      <c r="D98" s="87">
        <v>0</v>
      </c>
      <c r="E98" s="55">
        <f>+IF(C98*(1+D98/100)&gt;=510,510,+C98*(1+D98/100))</f>
        <v>398.4375</v>
      </c>
      <c r="F98" s="44">
        <f>+HEX2DEC(CONCATENATE($K$52,$L$52))/256+HEX2DEC(O52)*HEX2DEC($M$52)/256</f>
        <v>398.42578125</v>
      </c>
      <c r="G98" s="44">
        <f t="shared" si="62"/>
        <v>12.258000000000008</v>
      </c>
      <c r="H98" s="44"/>
      <c r="I98" s="41"/>
    </row>
    <row r="99" spans="1:9" ht="15.75" x14ac:dyDescent="0.25">
      <c r="A99" s="42"/>
      <c r="B99" s="41">
        <f t="shared" si="60"/>
        <v>12.386000000000008</v>
      </c>
      <c r="C99" s="41">
        <f>+HEX2DEC(CONCATENATE($K$19,$L$19))/256+HEX2DEC(P19)*HEX2DEC($M$19)/256</f>
        <v>407.40234375</v>
      </c>
      <c r="D99" s="87">
        <v>0</v>
      </c>
      <c r="E99" s="55">
        <f t="shared" ref="E99:E104" si="65">+IF(C99*(1+D99/100)&gt;=510,510,+C99*(1+D99/100))</f>
        <v>407.40234375</v>
      </c>
      <c r="F99" s="44">
        <f>+HEX2DEC(CONCATENATE($K$52,$L$52))/256+HEX2DEC(P52)*HEX2DEC($M$52)/256</f>
        <v>407.27734375</v>
      </c>
      <c r="G99" s="44">
        <f t="shared" si="62"/>
        <v>12.386000000000008</v>
      </c>
      <c r="H99" s="44"/>
      <c r="I99" s="41"/>
    </row>
    <row r="100" spans="1:9" ht="15.75" x14ac:dyDescent="0.25">
      <c r="A100" s="42"/>
      <c r="B100" s="41">
        <f t="shared" si="60"/>
        <v>12.514000000000008</v>
      </c>
      <c r="C100" s="41">
        <f>+HEX2DEC(CONCATENATE($K$19,$L$19))/256+HEX2DEC(Q19)*HEX2DEC($M$19)/256</f>
        <v>416.3671875</v>
      </c>
      <c r="D100" s="87">
        <v>0</v>
      </c>
      <c r="E100" s="55">
        <f t="shared" si="65"/>
        <v>416.3671875</v>
      </c>
      <c r="F100" s="44">
        <f>+HEX2DEC(CONCATENATE($K$52,$L$52))/256+HEX2DEC(Q52)*HEX2DEC($M$52)/256</f>
        <v>416.12890625</v>
      </c>
      <c r="G100" s="44">
        <f t="shared" si="62"/>
        <v>12.514000000000008</v>
      </c>
      <c r="H100" s="44"/>
      <c r="I100" s="41"/>
    </row>
    <row r="101" spans="1:9" ht="15.75" x14ac:dyDescent="0.25">
      <c r="A101" s="42"/>
      <c r="B101" s="41">
        <f t="shared" si="60"/>
        <v>12.642000000000008</v>
      </c>
      <c r="C101" s="41">
        <f>+HEX2DEC(CONCATENATE($K$19,$L$19))/256+HEX2DEC(R19)*HEX2DEC($M$19)/256</f>
        <v>425.33203125</v>
      </c>
      <c r="D101" s="87">
        <v>0</v>
      </c>
      <c r="E101" s="55">
        <f t="shared" si="65"/>
        <v>425.33203125</v>
      </c>
      <c r="F101" s="44">
        <f>+HEX2DEC(CONCATENATE($K$52,$L$52))/256+HEX2DEC(R52)*HEX2DEC($M$52)/256</f>
        <v>424.98046875</v>
      </c>
      <c r="G101" s="44">
        <f t="shared" si="62"/>
        <v>12.642000000000008</v>
      </c>
      <c r="H101" s="44"/>
      <c r="I101" s="41"/>
    </row>
    <row r="102" spans="1:9" ht="15.75" x14ac:dyDescent="0.25">
      <c r="A102" s="42"/>
      <c r="B102" s="41">
        <f t="shared" si="60"/>
        <v>12.770000000000008</v>
      </c>
      <c r="C102" s="41">
        <f>+HEX2DEC(CONCATENATE($K$19,$L$19))/256+HEX2DEC(S19)*HEX2DEC($M$19)/256</f>
        <v>434.296875</v>
      </c>
      <c r="D102" s="87">
        <v>0</v>
      </c>
      <c r="E102" s="55">
        <f t="shared" si="65"/>
        <v>434.296875</v>
      </c>
      <c r="F102" s="44">
        <f>+HEX2DEC(CONCATENATE($K$52,$L$52))/256+HEX2DEC(S52)*HEX2DEC($M$52)/256</f>
        <v>434.63671875</v>
      </c>
      <c r="G102" s="44">
        <f t="shared" si="62"/>
        <v>12.770000000000008</v>
      </c>
      <c r="H102" s="44"/>
      <c r="I102" s="41"/>
    </row>
    <row r="103" spans="1:9" ht="15.75" x14ac:dyDescent="0.25">
      <c r="A103" s="42"/>
      <c r="B103" s="41">
        <f t="shared" si="60"/>
        <v>12.898000000000009</v>
      </c>
      <c r="C103" s="41">
        <f>+HEX2DEC(CONCATENATE($K$19,$L$19))/256+HEX2DEC(T19)*HEX2DEC($M$19)/256</f>
        <v>443.26171875</v>
      </c>
      <c r="D103" s="87">
        <v>0</v>
      </c>
      <c r="E103" s="55">
        <f t="shared" si="65"/>
        <v>443.26171875</v>
      </c>
      <c r="F103" s="44">
        <f>+HEX2DEC(CONCATENATE($K$52,$L$52))/256+HEX2DEC(T52)*HEX2DEC($M$52)/256</f>
        <v>443.48828125</v>
      </c>
      <c r="G103" s="44">
        <f t="shared" si="62"/>
        <v>12.898000000000009</v>
      </c>
      <c r="H103" s="44"/>
      <c r="I103" s="41"/>
    </row>
    <row r="104" spans="1:9" ht="15.75" x14ac:dyDescent="0.25">
      <c r="A104" s="42"/>
      <c r="B104" s="41">
        <f t="shared" si="60"/>
        <v>13.026000000000009</v>
      </c>
      <c r="C104" s="41">
        <f>+HEX2DEC(CONCATENATE($K$19,$L$19))/256+HEX2DEC(U19)*HEX2DEC($M$19)/256</f>
        <v>452.2265625</v>
      </c>
      <c r="D104" s="87">
        <v>0</v>
      </c>
      <c r="E104" s="55">
        <f t="shared" si="65"/>
        <v>452.2265625</v>
      </c>
      <c r="F104" s="44">
        <f>+HEX2DEC(CONCATENATE($K$52,$L$52))/256+HEX2DEC(U52)*HEX2DEC($M$52)/256</f>
        <v>452.33984375</v>
      </c>
      <c r="G104" s="44">
        <f t="shared" si="62"/>
        <v>13.026000000000009</v>
      </c>
      <c r="H104" s="44"/>
      <c r="I104" s="41"/>
    </row>
    <row r="105" spans="1:9" ht="16.5" thickBot="1" x14ac:dyDescent="0.3">
      <c r="A105" s="51"/>
      <c r="B105" s="52">
        <f t="shared" si="60"/>
        <v>13.154000000000009</v>
      </c>
      <c r="C105" s="52">
        <f>+HEX2DEC(CONCATENATE($K$19,$L$19))/256+HEX2DEC(V19)*HEX2DEC($M$19)/256</f>
        <v>461.19140625</v>
      </c>
      <c r="D105" s="88">
        <v>0</v>
      </c>
      <c r="E105" s="72">
        <f>+IF(C105*(1+D105/100)&gt;=510,510,+C105*(1+D105/100))</f>
        <v>461.19140625</v>
      </c>
      <c r="F105" s="54">
        <f>+ROUND(HEX2DEC(CONCATENATE($K$52,$L$52))/256+HEX2DEC(V52)*HEX2DEC($M$52)/256,3)</f>
        <v>461.19099999999997</v>
      </c>
      <c r="G105" s="54">
        <f t="shared" si="62"/>
        <v>13.154000000000009</v>
      </c>
      <c r="H105" s="54"/>
      <c r="I105" s="41"/>
    </row>
    <row r="106" spans="1:9" ht="15.75" x14ac:dyDescent="0.25">
      <c r="A106" s="37" t="s">
        <v>189</v>
      </c>
      <c r="B106" s="38">
        <f t="shared" ref="B106" si="66">+B105</f>
        <v>13.154000000000009</v>
      </c>
      <c r="C106" s="38">
        <f>+HEX2DEC(CONCATENATE($K$20,$L$20))/256+HEX2DEC(N20)*HEX2DEC($M$20)/256</f>
        <v>461.19140625</v>
      </c>
      <c r="D106" s="89">
        <f t="shared" ref="D106:D114" si="67">+D105</f>
        <v>0</v>
      </c>
      <c r="E106" s="90">
        <f>IF(+E105+H106&gt;=510,510,E105+H106)</f>
        <v>461.69040625000002</v>
      </c>
      <c r="F106" s="40">
        <f>+ROUND(HEX2DEC(CONCATENATE($K$53,$L$53))/256+HEX2DEC(N53)*HEX2DEC($M$53)/256,3)</f>
        <v>462.18799999999999</v>
      </c>
      <c r="G106" s="44">
        <f>G105</f>
        <v>13.154000000000009</v>
      </c>
      <c r="H106" s="40">
        <v>0.49900000000000039</v>
      </c>
      <c r="I106" s="41"/>
    </row>
    <row r="107" spans="1:9" ht="15.75" x14ac:dyDescent="0.25">
      <c r="A107" s="42"/>
      <c r="B107" s="41">
        <f t="shared" si="60"/>
        <v>13.282000000000009</v>
      </c>
      <c r="C107" s="41">
        <f>+HEX2DEC(CONCATENATE($K$20,$L$20))/256+HEX2DEC(O20)*HEX2DEC($M$20)/256</f>
        <v>470.15625</v>
      </c>
      <c r="D107" s="87">
        <v>0</v>
      </c>
      <c r="E107" s="55">
        <f>+IF(C107*(1+D107/100)&gt;=510,510,+C107*(1+D107/100))</f>
        <v>470.15625</v>
      </c>
      <c r="F107" s="44">
        <f>+HEX2DEC(CONCATENATE($K$53,$L$53))/256+HEX2DEC(O53)*HEX2DEC($M$53)/256</f>
        <v>470.15625</v>
      </c>
      <c r="G107" s="44">
        <f t="shared" si="62"/>
        <v>13.282000000000009</v>
      </c>
      <c r="H107" s="44"/>
      <c r="I107" s="41"/>
    </row>
    <row r="108" spans="1:9" ht="15.75" x14ac:dyDescent="0.25">
      <c r="A108" s="42"/>
      <c r="B108" s="41">
        <f t="shared" si="60"/>
        <v>13.410000000000009</v>
      </c>
      <c r="C108" s="41">
        <f>+HEX2DEC(CONCATENATE($K$20,$L$20))/256+HEX2DEC(P20)*HEX2DEC($M$20)/256</f>
        <v>479.12109375</v>
      </c>
      <c r="D108" s="87">
        <v>0</v>
      </c>
      <c r="E108" s="55">
        <f t="shared" ref="E108:E113" si="68">+IF(C108*(1+D108/100)&gt;=510,510,+C108*(1+D108/100))</f>
        <v>479.12109375</v>
      </c>
      <c r="F108" s="44">
        <f>+HEX2DEC(CONCATENATE($K$53,$L$53))/256+HEX2DEC(P53)*HEX2DEC($M$53)/256</f>
        <v>479.12109375</v>
      </c>
      <c r="G108" s="44">
        <f t="shared" si="62"/>
        <v>13.410000000000009</v>
      </c>
      <c r="H108" s="44"/>
      <c r="I108" s="41"/>
    </row>
    <row r="109" spans="1:9" ht="15.75" x14ac:dyDescent="0.25">
      <c r="A109" s="42"/>
      <c r="B109" s="41">
        <f t="shared" si="60"/>
        <v>13.538000000000009</v>
      </c>
      <c r="C109" s="41">
        <f>+HEX2DEC(CONCATENATE($K$20,$L$20))/256+HEX2DEC(Q20)*HEX2DEC($M$20)/256</f>
        <v>488.0859375</v>
      </c>
      <c r="D109" s="87">
        <v>0</v>
      </c>
      <c r="E109" s="55">
        <f t="shared" si="68"/>
        <v>488.0859375</v>
      </c>
      <c r="F109" s="44">
        <f>+HEX2DEC(CONCATENATE($K$53,$L$53))/256+HEX2DEC(Q53)*HEX2DEC($M$53)/256</f>
        <v>488.0859375</v>
      </c>
      <c r="G109" s="44">
        <f t="shared" si="62"/>
        <v>13.538000000000009</v>
      </c>
      <c r="H109" s="44"/>
      <c r="I109" s="41"/>
    </row>
    <row r="110" spans="1:9" ht="15.75" x14ac:dyDescent="0.25">
      <c r="A110" s="42"/>
      <c r="B110" s="41">
        <f t="shared" si="60"/>
        <v>13.666000000000009</v>
      </c>
      <c r="C110" s="41">
        <f>+HEX2DEC(CONCATENATE($K$20,$L$20))/256+HEX2DEC(R20)*HEX2DEC($M$20)/256</f>
        <v>492.0703125</v>
      </c>
      <c r="D110" s="87">
        <v>0</v>
      </c>
      <c r="E110" s="55">
        <f t="shared" si="68"/>
        <v>492.0703125</v>
      </c>
      <c r="F110" s="44">
        <f>+HEX2DEC(CONCATENATE($K$53,$L$53))/256+HEX2DEC(R53)*HEX2DEC($M$53)/256</f>
        <v>492.0703125</v>
      </c>
      <c r="G110" s="44">
        <f t="shared" si="62"/>
        <v>13.666000000000009</v>
      </c>
      <c r="H110" s="44"/>
      <c r="I110" s="41"/>
    </row>
    <row r="111" spans="1:9" ht="15.75" x14ac:dyDescent="0.25">
      <c r="A111" s="42"/>
      <c r="B111" s="41">
        <f t="shared" si="60"/>
        <v>13.794000000000009</v>
      </c>
      <c r="C111" s="41">
        <f>+HEX2DEC(CONCATENATE($K$20,$L$20))/256+HEX2DEC(S20)*HEX2DEC($M$20)/256</f>
        <v>495.05859375</v>
      </c>
      <c r="D111" s="87">
        <v>0</v>
      </c>
      <c r="E111" s="55">
        <f t="shared" si="68"/>
        <v>495.05859375</v>
      </c>
      <c r="F111" s="44">
        <f>+HEX2DEC(CONCATENATE($K$53,$L$53))/256+HEX2DEC(S53)*HEX2DEC($M$53)/256</f>
        <v>495.05859375</v>
      </c>
      <c r="G111" s="44">
        <f t="shared" si="62"/>
        <v>13.794000000000009</v>
      </c>
      <c r="H111" s="44"/>
      <c r="I111" s="41"/>
    </row>
    <row r="112" spans="1:9" ht="15.75" x14ac:dyDescent="0.25">
      <c r="A112" s="42"/>
      <c r="B112" s="41">
        <f t="shared" si="60"/>
        <v>13.922000000000009</v>
      </c>
      <c r="C112" s="41">
        <f>+HEX2DEC(CONCATENATE($K$20,$L$20))/256+HEX2DEC(T20)*HEX2DEC($M$20)/256</f>
        <v>500.0390625</v>
      </c>
      <c r="D112" s="87">
        <v>0</v>
      </c>
      <c r="E112" s="55">
        <f t="shared" si="68"/>
        <v>500.0390625</v>
      </c>
      <c r="F112" s="44">
        <f>+HEX2DEC(CONCATENATE($K$53,$L$53))/256+HEX2DEC(T53)*HEX2DEC($M$53)/256</f>
        <v>500.0390625</v>
      </c>
      <c r="G112" s="44">
        <f t="shared" si="62"/>
        <v>13.922000000000009</v>
      </c>
      <c r="H112" s="44"/>
      <c r="I112" s="41"/>
    </row>
    <row r="113" spans="1:9" ht="15.75" x14ac:dyDescent="0.25">
      <c r="A113" s="42"/>
      <c r="B113" s="41">
        <f t="shared" si="60"/>
        <v>14.05000000000001</v>
      </c>
      <c r="C113" s="41">
        <f>+HEX2DEC(CONCATENATE($K$20,$L$20))/256+HEX2DEC(U20)*HEX2DEC($M$20)/256</f>
        <v>506.015625</v>
      </c>
      <c r="D113" s="87">
        <v>0</v>
      </c>
      <c r="E113" s="55">
        <f t="shared" si="68"/>
        <v>506.015625</v>
      </c>
      <c r="F113" s="44">
        <f>+HEX2DEC(CONCATENATE($K$53,$L$53))/256+HEX2DEC(U53)*HEX2DEC($M$53)/256</f>
        <v>506.015625</v>
      </c>
      <c r="G113" s="44">
        <f t="shared" si="62"/>
        <v>14.05000000000001</v>
      </c>
      <c r="H113" s="44"/>
      <c r="I113" s="41"/>
    </row>
    <row r="114" spans="1:9" ht="16.5" thickBot="1" x14ac:dyDescent="0.3">
      <c r="A114" s="51"/>
      <c r="B114" s="52">
        <f t="shared" si="60"/>
        <v>14.17800000000001</v>
      </c>
      <c r="C114" s="52">
        <f>+HEX2DEC(CONCATENATE($K$20,$L$20))/256+HEX2DEC(V20)*HEX2DEC($M$20)/256</f>
        <v>510</v>
      </c>
      <c r="D114" s="88">
        <v>0</v>
      </c>
      <c r="E114" s="72">
        <f>+IF(C114*(1+D114/100)&gt;=510,510,+C114*(1+D114/100))</f>
        <v>510</v>
      </c>
      <c r="F114" s="54">
        <f>+HEX2DEC(CONCATENATE($K$53,$L$53))/256+HEX2DEC(V53)*HEX2DEC($M$53)/256</f>
        <v>510</v>
      </c>
      <c r="G114" s="54">
        <f t="shared" si="62"/>
        <v>14.17800000000001</v>
      </c>
      <c r="H114" s="54"/>
      <c r="I114" s="41"/>
    </row>
  </sheetData>
  <mergeCells count="2">
    <mergeCell ref="A1:V1"/>
    <mergeCell ref="X23:X25"/>
  </mergeCells>
  <conditionalFormatting sqref="E8">
    <cfRule type="cellIs" dxfId="77" priority="99" operator="lessThan">
      <formula>E7</formula>
    </cfRule>
  </conditionalFormatting>
  <conditionalFormatting sqref="E9">
    <cfRule type="cellIs" dxfId="76" priority="98" operator="lessThan">
      <formula>E8</formula>
    </cfRule>
  </conditionalFormatting>
  <conditionalFormatting sqref="E10">
    <cfRule type="cellIs" dxfId="75" priority="97" operator="lessThan">
      <formula>E9</formula>
    </cfRule>
  </conditionalFormatting>
  <conditionalFormatting sqref="E11">
    <cfRule type="cellIs" dxfId="74" priority="96" operator="lessThan">
      <formula>E10</formula>
    </cfRule>
  </conditionalFormatting>
  <conditionalFormatting sqref="E12">
    <cfRule type="cellIs" dxfId="73" priority="95" operator="lessThan">
      <formula>E11</formula>
    </cfRule>
  </conditionalFormatting>
  <conditionalFormatting sqref="E13">
    <cfRule type="cellIs" dxfId="72" priority="94" operator="lessThan">
      <formula>E12</formula>
    </cfRule>
  </conditionalFormatting>
  <conditionalFormatting sqref="E14">
    <cfRule type="cellIs" dxfId="71" priority="93" operator="lessThan">
      <formula>E13</formula>
    </cfRule>
  </conditionalFormatting>
  <conditionalFormatting sqref="E15">
    <cfRule type="cellIs" dxfId="70" priority="92" operator="lessThan">
      <formula>E14</formula>
    </cfRule>
  </conditionalFormatting>
  <conditionalFormatting sqref="E16">
    <cfRule type="cellIs" dxfId="69" priority="91" operator="lessThan">
      <formula>E15</formula>
    </cfRule>
  </conditionalFormatting>
  <conditionalFormatting sqref="E17">
    <cfRule type="cellIs" dxfId="68" priority="90" operator="lessThan">
      <formula>E16</formula>
    </cfRule>
  </conditionalFormatting>
  <conditionalFormatting sqref="E18">
    <cfRule type="cellIs" dxfId="67" priority="89" operator="lessThan">
      <formula>E17</formula>
    </cfRule>
  </conditionalFormatting>
  <conditionalFormatting sqref="E19">
    <cfRule type="cellIs" dxfId="66" priority="88" operator="lessThan">
      <formula>E18</formula>
    </cfRule>
  </conditionalFormatting>
  <conditionalFormatting sqref="E20">
    <cfRule type="cellIs" dxfId="65" priority="87" operator="lessThan">
      <formula>E19</formula>
    </cfRule>
  </conditionalFormatting>
  <conditionalFormatting sqref="E21">
    <cfRule type="cellIs" dxfId="64" priority="86" operator="lessThan">
      <formula>E20</formula>
    </cfRule>
  </conditionalFormatting>
  <conditionalFormatting sqref="E22">
    <cfRule type="cellIs" dxfId="63" priority="85" operator="lessThan">
      <formula>E21</formula>
    </cfRule>
  </conditionalFormatting>
  <conditionalFormatting sqref="E23">
    <cfRule type="cellIs" dxfId="62" priority="84" operator="lessThan">
      <formula>E22</formula>
    </cfRule>
  </conditionalFormatting>
  <conditionalFormatting sqref="E24">
    <cfRule type="cellIs" dxfId="61" priority="83" operator="lessThan">
      <formula>E23</formula>
    </cfRule>
  </conditionalFormatting>
  <conditionalFormatting sqref="E45">
    <cfRule type="cellIs" dxfId="60" priority="62" operator="lessThan">
      <formula>E44</formula>
    </cfRule>
  </conditionalFormatting>
  <conditionalFormatting sqref="E26">
    <cfRule type="cellIs" dxfId="59" priority="81" operator="lessThan">
      <formula>E25</formula>
    </cfRule>
  </conditionalFormatting>
  <conditionalFormatting sqref="E27">
    <cfRule type="cellIs" dxfId="58" priority="80" operator="lessThan">
      <formula>E26</formula>
    </cfRule>
  </conditionalFormatting>
  <conditionalFormatting sqref="E28">
    <cfRule type="cellIs" dxfId="57" priority="79" operator="lessThan">
      <formula>E27</formula>
    </cfRule>
  </conditionalFormatting>
  <conditionalFormatting sqref="E29">
    <cfRule type="cellIs" dxfId="56" priority="78" operator="lessThan">
      <formula>E28</formula>
    </cfRule>
  </conditionalFormatting>
  <conditionalFormatting sqref="E30">
    <cfRule type="cellIs" dxfId="55" priority="77" operator="lessThan">
      <formula>E29</formula>
    </cfRule>
  </conditionalFormatting>
  <conditionalFormatting sqref="E31">
    <cfRule type="cellIs" dxfId="54" priority="76" operator="lessThan">
      <formula>E30</formula>
    </cfRule>
  </conditionalFormatting>
  <conditionalFormatting sqref="E32">
    <cfRule type="cellIs" dxfId="53" priority="75" operator="lessThan">
      <formula>E31</formula>
    </cfRule>
  </conditionalFormatting>
  <conditionalFormatting sqref="E33">
    <cfRule type="cellIs" dxfId="52" priority="74" operator="lessThan">
      <formula>E32</formula>
    </cfRule>
  </conditionalFormatting>
  <conditionalFormatting sqref="E53">
    <cfRule type="cellIs" dxfId="51" priority="54" operator="lessThan">
      <formula>E52</formula>
    </cfRule>
  </conditionalFormatting>
  <conditionalFormatting sqref="E35">
    <cfRule type="cellIs" dxfId="50" priority="72" operator="lessThan">
      <formula>E34</formula>
    </cfRule>
  </conditionalFormatting>
  <conditionalFormatting sqref="E36">
    <cfRule type="cellIs" dxfId="49" priority="71" operator="lessThan">
      <formula>E35</formula>
    </cfRule>
  </conditionalFormatting>
  <conditionalFormatting sqref="E37">
    <cfRule type="cellIs" dxfId="48" priority="70" operator="lessThan">
      <formula>E36</formula>
    </cfRule>
  </conditionalFormatting>
  <conditionalFormatting sqref="E38">
    <cfRule type="cellIs" dxfId="47" priority="69" operator="lessThan">
      <formula>E37</formula>
    </cfRule>
  </conditionalFormatting>
  <conditionalFormatting sqref="E39">
    <cfRule type="cellIs" dxfId="46" priority="68" operator="lessThan">
      <formula>E38</formula>
    </cfRule>
  </conditionalFormatting>
  <conditionalFormatting sqref="E40">
    <cfRule type="cellIs" dxfId="45" priority="67" operator="lessThan">
      <formula>E39</formula>
    </cfRule>
  </conditionalFormatting>
  <conditionalFormatting sqref="E41">
    <cfRule type="cellIs" dxfId="44" priority="66" operator="lessThan">
      <formula>E40</formula>
    </cfRule>
  </conditionalFormatting>
  <conditionalFormatting sqref="E42">
    <cfRule type="cellIs" dxfId="43" priority="65" operator="lessThan">
      <formula>E41</formula>
    </cfRule>
  </conditionalFormatting>
  <conditionalFormatting sqref="E44">
    <cfRule type="cellIs" dxfId="42" priority="63" operator="lessThan">
      <formula>E43</formula>
    </cfRule>
  </conditionalFormatting>
  <conditionalFormatting sqref="E46">
    <cfRule type="cellIs" dxfId="41" priority="61" operator="lessThan">
      <formula>E45</formula>
    </cfRule>
  </conditionalFormatting>
  <conditionalFormatting sqref="E47">
    <cfRule type="cellIs" dxfId="40" priority="60" operator="lessThan">
      <formula>E46</formula>
    </cfRule>
  </conditionalFormatting>
  <conditionalFormatting sqref="E48">
    <cfRule type="cellIs" dxfId="39" priority="59" operator="lessThan">
      <formula>E47</formula>
    </cfRule>
  </conditionalFormatting>
  <conditionalFormatting sqref="E49">
    <cfRule type="cellIs" dxfId="38" priority="58" operator="lessThan">
      <formula>E48</formula>
    </cfRule>
  </conditionalFormatting>
  <conditionalFormatting sqref="E50">
    <cfRule type="cellIs" dxfId="37" priority="57" operator="lessThan">
      <formula>E49</formula>
    </cfRule>
  </conditionalFormatting>
  <conditionalFormatting sqref="E51">
    <cfRule type="cellIs" dxfId="36" priority="56" operator="lessThan">
      <formula>E50</formula>
    </cfRule>
  </conditionalFormatting>
  <conditionalFormatting sqref="E69">
    <cfRule type="cellIs" dxfId="35" priority="38" operator="lessThan">
      <formula>E68</formula>
    </cfRule>
  </conditionalFormatting>
  <conditionalFormatting sqref="E54">
    <cfRule type="cellIs" dxfId="34" priority="53" operator="lessThan">
      <formula>E53</formula>
    </cfRule>
  </conditionalFormatting>
  <conditionalFormatting sqref="E55">
    <cfRule type="cellIs" dxfId="33" priority="52" operator="lessThan">
      <formula>E54</formula>
    </cfRule>
  </conditionalFormatting>
  <conditionalFormatting sqref="E56">
    <cfRule type="cellIs" dxfId="32" priority="51" operator="lessThan">
      <formula>E55</formula>
    </cfRule>
  </conditionalFormatting>
  <conditionalFormatting sqref="E57">
    <cfRule type="cellIs" dxfId="31" priority="50" operator="lessThan">
      <formula>E56</formula>
    </cfRule>
  </conditionalFormatting>
  <conditionalFormatting sqref="E58">
    <cfRule type="cellIs" dxfId="30" priority="49" operator="lessThan">
      <formula>E57</formula>
    </cfRule>
  </conditionalFormatting>
  <conditionalFormatting sqref="E59">
    <cfRule type="cellIs" dxfId="29" priority="48" operator="lessThan">
      <formula>E58</formula>
    </cfRule>
  </conditionalFormatting>
  <conditionalFormatting sqref="E60">
    <cfRule type="cellIs" dxfId="28" priority="47" operator="lessThan">
      <formula>E59</formula>
    </cfRule>
  </conditionalFormatting>
  <conditionalFormatting sqref="E77">
    <cfRule type="cellIs" dxfId="27" priority="30" operator="lessThan">
      <formula>E76</formula>
    </cfRule>
  </conditionalFormatting>
  <conditionalFormatting sqref="E62">
    <cfRule type="cellIs" dxfId="26" priority="45" operator="lessThan">
      <formula>E61</formula>
    </cfRule>
  </conditionalFormatting>
  <conditionalFormatting sqref="E63">
    <cfRule type="cellIs" dxfId="25" priority="44" operator="lessThan">
      <formula>E62</formula>
    </cfRule>
  </conditionalFormatting>
  <conditionalFormatting sqref="E64">
    <cfRule type="cellIs" dxfId="24" priority="43" operator="lessThan">
      <formula>E63</formula>
    </cfRule>
  </conditionalFormatting>
  <conditionalFormatting sqref="E65">
    <cfRule type="cellIs" dxfId="23" priority="42" operator="lessThan">
      <formula>E64</formula>
    </cfRule>
  </conditionalFormatting>
  <conditionalFormatting sqref="E66">
    <cfRule type="cellIs" dxfId="22" priority="41" operator="lessThan">
      <formula>E65</formula>
    </cfRule>
  </conditionalFormatting>
  <conditionalFormatting sqref="E67">
    <cfRule type="cellIs" dxfId="21" priority="40" operator="lessThan">
      <formula>E66</formula>
    </cfRule>
  </conditionalFormatting>
  <conditionalFormatting sqref="E68">
    <cfRule type="cellIs" dxfId="20" priority="39" operator="lessThan">
      <formula>E67</formula>
    </cfRule>
  </conditionalFormatting>
  <conditionalFormatting sqref="E71">
    <cfRule type="cellIs" dxfId="19" priority="36" operator="lessThan">
      <formula>E70</formula>
    </cfRule>
  </conditionalFormatting>
  <conditionalFormatting sqref="E72">
    <cfRule type="cellIs" dxfId="18" priority="35" operator="lessThan">
      <formula>E71</formula>
    </cfRule>
  </conditionalFormatting>
  <conditionalFormatting sqref="E73">
    <cfRule type="cellIs" dxfId="17" priority="34" operator="lessThan">
      <formula>E72</formula>
    </cfRule>
  </conditionalFormatting>
  <conditionalFormatting sqref="E74">
    <cfRule type="cellIs" dxfId="16" priority="33" operator="lessThan">
      <formula>E73</formula>
    </cfRule>
  </conditionalFormatting>
  <conditionalFormatting sqref="E75">
    <cfRule type="cellIs" dxfId="15" priority="32" operator="lessThan">
      <formula>E74</formula>
    </cfRule>
  </conditionalFormatting>
  <conditionalFormatting sqref="E76">
    <cfRule type="cellIs" dxfId="14" priority="31" operator="lessThan">
      <formula>E75</formula>
    </cfRule>
  </conditionalFormatting>
  <conditionalFormatting sqref="E78 E80:E87">
    <cfRule type="cellIs" dxfId="13" priority="29" operator="lessThan">
      <formula>E77</formula>
    </cfRule>
  </conditionalFormatting>
  <conditionalFormatting sqref="E25">
    <cfRule type="cellIs" dxfId="12" priority="16" operator="lessThan">
      <formula>E24</formula>
    </cfRule>
  </conditionalFormatting>
  <conditionalFormatting sqref="E79">
    <cfRule type="cellIs" dxfId="11" priority="10" operator="lessThan">
      <formula>E78</formula>
    </cfRule>
  </conditionalFormatting>
  <conditionalFormatting sqref="E61">
    <cfRule type="cellIs" dxfId="10" priority="12" operator="lessThan">
      <formula>E60</formula>
    </cfRule>
  </conditionalFormatting>
  <conditionalFormatting sqref="E34">
    <cfRule type="cellIs" dxfId="9" priority="15" operator="lessThan">
      <formula>E33</formula>
    </cfRule>
  </conditionalFormatting>
  <conditionalFormatting sqref="E43">
    <cfRule type="cellIs" dxfId="8" priority="14" operator="lessThan">
      <formula>E42</formula>
    </cfRule>
  </conditionalFormatting>
  <conditionalFormatting sqref="E52">
    <cfRule type="cellIs" dxfId="7" priority="13" operator="lessThan">
      <formula>E51</formula>
    </cfRule>
  </conditionalFormatting>
  <conditionalFormatting sqref="E70">
    <cfRule type="cellIs" dxfId="6" priority="11" operator="lessThan">
      <formula>E69</formula>
    </cfRule>
  </conditionalFormatting>
  <conditionalFormatting sqref="E89:E96">
    <cfRule type="cellIs" dxfId="5" priority="6" operator="lessThan">
      <formula>E88</formula>
    </cfRule>
  </conditionalFormatting>
  <conditionalFormatting sqref="E88">
    <cfRule type="cellIs" dxfId="4" priority="5" operator="lessThan">
      <formula>E87</formula>
    </cfRule>
  </conditionalFormatting>
  <conditionalFormatting sqref="E98:E105">
    <cfRule type="cellIs" dxfId="3" priority="4" operator="lessThan">
      <formula>E97</formula>
    </cfRule>
  </conditionalFormatting>
  <conditionalFormatting sqref="E97">
    <cfRule type="cellIs" dxfId="2" priority="3" operator="lessThan">
      <formula>E96</formula>
    </cfRule>
  </conditionalFormatting>
  <conditionalFormatting sqref="E107:E114">
    <cfRule type="cellIs" dxfId="1" priority="2" operator="lessThan">
      <formula>E106</formula>
    </cfRule>
  </conditionalFormatting>
  <conditionalFormatting sqref="E106">
    <cfRule type="cellIs" dxfId="0" priority="1" operator="lessThan">
      <formula>E105</formula>
    </cfRule>
  </conditionalFormatting>
  <pageMargins left="0.70866141732283472" right="0.70866141732283472" top="0.15748031496062992" bottom="0.15748031496062992" header="0.31496062992125984" footer="0.31496062992125984"/>
  <pageSetup paperSize="9" scale="30" orientation="landscape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defaultSize="0" print="0" autoFill="0" autoPict="0" macro="[0]!ReCalc">
                <anchor moveWithCells="1" sizeWithCells="1">
                  <from>
                    <xdr:col>6</xdr:col>
                    <xdr:colOff>304800</xdr:colOff>
                    <xdr:row>1</xdr:row>
                    <xdr:rowOff>152400</xdr:rowOff>
                  </from>
                  <to>
                    <xdr:col>12</xdr:col>
                    <xdr:colOff>38100</xdr:colOff>
                    <xdr:row>2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3:N37"/>
  <sheetViews>
    <sheetView zoomScale="75" zoomScaleNormal="75" workbookViewId="0">
      <selection activeCell="C29" sqref="C29"/>
    </sheetView>
  </sheetViews>
  <sheetFormatPr defaultColWidth="10.42578125" defaultRowHeight="15" x14ac:dyDescent="0.25"/>
  <cols>
    <col min="1" max="2" width="10.42578125" style="20"/>
    <col min="3" max="14" width="8.140625" style="20" customWidth="1"/>
    <col min="15" max="16384" width="10.42578125" style="20"/>
  </cols>
  <sheetData>
    <row r="3" spans="2:14" ht="16.5" thickBot="1" x14ac:dyDescent="0.3">
      <c r="B3" s="19"/>
      <c r="C3" s="135" t="s">
        <v>90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2:14" ht="16.5" thickBot="1" x14ac:dyDescent="0.3">
      <c r="B4" s="21"/>
      <c r="C4" s="136" t="s">
        <v>0</v>
      </c>
      <c r="D4" s="137"/>
      <c r="E4" s="138"/>
      <c r="F4" s="136" t="s">
        <v>1</v>
      </c>
      <c r="G4" s="137"/>
      <c r="H4" s="137"/>
      <c r="I4" s="137"/>
      <c r="J4" s="137"/>
      <c r="K4" s="137"/>
      <c r="L4" s="137"/>
      <c r="M4" s="137"/>
      <c r="N4" s="22"/>
    </row>
    <row r="5" spans="2:14" ht="15.75" x14ac:dyDescent="0.25">
      <c r="B5" s="23" t="s">
        <v>82</v>
      </c>
      <c r="C5" s="1" t="s">
        <v>2</v>
      </c>
      <c r="D5" s="2" t="s">
        <v>3</v>
      </c>
      <c r="E5" s="3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3" t="s">
        <v>13</v>
      </c>
    </row>
    <row r="6" spans="2:14" ht="15.75" x14ac:dyDescent="0.25">
      <c r="B6" s="24" t="s">
        <v>83</v>
      </c>
      <c r="C6" s="4" t="s">
        <v>14</v>
      </c>
      <c r="D6" s="5" t="s">
        <v>5</v>
      </c>
      <c r="E6" s="6" t="s">
        <v>15</v>
      </c>
      <c r="F6" s="5" t="s">
        <v>5</v>
      </c>
      <c r="G6" s="5" t="s">
        <v>16</v>
      </c>
      <c r="H6" s="5" t="s">
        <v>17</v>
      </c>
      <c r="I6" s="5" t="s">
        <v>18</v>
      </c>
      <c r="J6" s="5" t="s">
        <v>19</v>
      </c>
      <c r="K6" s="5" t="s">
        <v>20</v>
      </c>
      <c r="L6" s="5" t="s">
        <v>21</v>
      </c>
      <c r="M6" s="5" t="s">
        <v>22</v>
      </c>
      <c r="N6" s="6" t="s">
        <v>23</v>
      </c>
    </row>
    <row r="7" spans="2:14" ht="15.75" x14ac:dyDescent="0.25">
      <c r="B7" s="24" t="s">
        <v>84</v>
      </c>
      <c r="C7" s="4" t="s">
        <v>24</v>
      </c>
      <c r="D7" s="5" t="s">
        <v>14</v>
      </c>
      <c r="E7" s="6" t="s">
        <v>25</v>
      </c>
      <c r="F7" s="5" t="s">
        <v>5</v>
      </c>
      <c r="G7" s="5" t="s">
        <v>26</v>
      </c>
      <c r="H7" s="5" t="s">
        <v>27</v>
      </c>
      <c r="I7" s="5" t="s">
        <v>28</v>
      </c>
      <c r="J7" s="5" t="s">
        <v>29</v>
      </c>
      <c r="K7" s="5" t="s">
        <v>11</v>
      </c>
      <c r="L7" s="5" t="s">
        <v>30</v>
      </c>
      <c r="M7" s="5" t="s">
        <v>31</v>
      </c>
      <c r="N7" s="6" t="s">
        <v>32</v>
      </c>
    </row>
    <row r="8" spans="2:14" ht="15.75" x14ac:dyDescent="0.25">
      <c r="B8" s="24" t="s">
        <v>85</v>
      </c>
      <c r="C8" s="4" t="s">
        <v>33</v>
      </c>
      <c r="D8" s="5" t="s">
        <v>34</v>
      </c>
      <c r="E8" s="6" t="s">
        <v>16</v>
      </c>
      <c r="F8" s="5" t="s">
        <v>5</v>
      </c>
      <c r="G8" s="5" t="s">
        <v>26</v>
      </c>
      <c r="H8" s="5" t="s">
        <v>35</v>
      </c>
      <c r="I8" s="5" t="s">
        <v>28</v>
      </c>
      <c r="J8" s="5" t="s">
        <v>29</v>
      </c>
      <c r="K8" s="5" t="s">
        <v>11</v>
      </c>
      <c r="L8" s="5" t="s">
        <v>30</v>
      </c>
      <c r="M8" s="5" t="s">
        <v>36</v>
      </c>
      <c r="N8" s="6" t="s">
        <v>37</v>
      </c>
    </row>
    <row r="9" spans="2:14" ht="15.75" x14ac:dyDescent="0.25">
      <c r="B9" s="24" t="s">
        <v>86</v>
      </c>
      <c r="C9" s="4" t="s">
        <v>27</v>
      </c>
      <c r="D9" s="5" t="s">
        <v>38</v>
      </c>
      <c r="E9" s="6" t="s">
        <v>39</v>
      </c>
      <c r="F9" s="5" t="s">
        <v>5</v>
      </c>
      <c r="G9" s="5" t="s">
        <v>26</v>
      </c>
      <c r="H9" s="5" t="s">
        <v>40</v>
      </c>
      <c r="I9" s="5" t="s">
        <v>41</v>
      </c>
      <c r="J9" s="5" t="s">
        <v>10</v>
      </c>
      <c r="K9" s="5" t="s">
        <v>42</v>
      </c>
      <c r="L9" s="5" t="s">
        <v>43</v>
      </c>
      <c r="M9" s="5" t="s">
        <v>31</v>
      </c>
      <c r="N9" s="6" t="s">
        <v>37</v>
      </c>
    </row>
    <row r="10" spans="2:14" ht="15.75" x14ac:dyDescent="0.25">
      <c r="B10" s="24" t="s">
        <v>87</v>
      </c>
      <c r="C10" s="4" t="s">
        <v>41</v>
      </c>
      <c r="D10" s="5" t="s">
        <v>17</v>
      </c>
      <c r="E10" s="6" t="s">
        <v>44</v>
      </c>
      <c r="F10" s="5" t="s">
        <v>5</v>
      </c>
      <c r="G10" s="5" t="s">
        <v>45</v>
      </c>
      <c r="H10" s="5" t="s">
        <v>46</v>
      </c>
      <c r="I10" s="5" t="s">
        <v>47</v>
      </c>
      <c r="J10" s="5" t="s">
        <v>48</v>
      </c>
      <c r="K10" s="5" t="s">
        <v>49</v>
      </c>
      <c r="L10" s="5" t="s">
        <v>50</v>
      </c>
      <c r="M10" s="5" t="s">
        <v>51</v>
      </c>
      <c r="N10" s="6" t="s">
        <v>32</v>
      </c>
    </row>
    <row r="11" spans="2:14" ht="15.75" x14ac:dyDescent="0.25">
      <c r="B11" s="24" t="s">
        <v>88</v>
      </c>
      <c r="C11" s="4" t="s">
        <v>52</v>
      </c>
      <c r="D11" s="5" t="s">
        <v>36</v>
      </c>
      <c r="E11" s="6" t="s">
        <v>27</v>
      </c>
      <c r="F11" s="5" t="s">
        <v>5</v>
      </c>
      <c r="G11" s="5" t="s">
        <v>45</v>
      </c>
      <c r="H11" s="5" t="s">
        <v>53</v>
      </c>
      <c r="I11" s="5" t="s">
        <v>9</v>
      </c>
      <c r="J11" s="5" t="s">
        <v>54</v>
      </c>
      <c r="K11" s="5" t="s">
        <v>55</v>
      </c>
      <c r="L11" s="5" t="s">
        <v>50</v>
      </c>
      <c r="M11" s="5" t="s">
        <v>51</v>
      </c>
      <c r="N11" s="6" t="s">
        <v>32</v>
      </c>
    </row>
    <row r="12" spans="2:14" ht="16.5" thickBot="1" x14ac:dyDescent="0.3">
      <c r="B12" s="25" t="s">
        <v>89</v>
      </c>
      <c r="C12" s="7" t="s">
        <v>12</v>
      </c>
      <c r="D12" s="8" t="s">
        <v>56</v>
      </c>
      <c r="E12" s="9" t="s">
        <v>57</v>
      </c>
      <c r="F12" s="8" t="s">
        <v>5</v>
      </c>
      <c r="G12" s="8" t="s">
        <v>45</v>
      </c>
      <c r="H12" s="8" t="s">
        <v>46</v>
      </c>
      <c r="I12" s="8" t="s">
        <v>47</v>
      </c>
      <c r="J12" s="8" t="s">
        <v>48</v>
      </c>
      <c r="K12" s="8" t="s">
        <v>49</v>
      </c>
      <c r="L12" s="8" t="s">
        <v>50</v>
      </c>
      <c r="M12" s="8" t="s">
        <v>51</v>
      </c>
      <c r="N12" s="9" t="s">
        <v>58</v>
      </c>
    </row>
    <row r="13" spans="2:14" ht="15.75" x14ac:dyDescent="0.25">
      <c r="C13" s="26"/>
      <c r="G13" s="27" t="s">
        <v>173</v>
      </c>
      <c r="H13" s="28">
        <v>1.89</v>
      </c>
    </row>
    <row r="15" spans="2:14" ht="16.5" thickBot="1" x14ac:dyDescent="0.3">
      <c r="B15" s="19"/>
      <c r="C15" s="135" t="s">
        <v>133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</row>
    <row r="16" spans="2:14" ht="16.5" thickBot="1" x14ac:dyDescent="0.3">
      <c r="B16" s="21"/>
      <c r="C16" s="136" t="s">
        <v>0</v>
      </c>
      <c r="D16" s="137"/>
      <c r="E16" s="138"/>
      <c r="F16" s="136" t="s">
        <v>1</v>
      </c>
      <c r="G16" s="137"/>
      <c r="H16" s="137"/>
      <c r="I16" s="137"/>
      <c r="J16" s="137"/>
      <c r="K16" s="137"/>
      <c r="L16" s="137"/>
      <c r="M16" s="137"/>
      <c r="N16" s="22"/>
    </row>
    <row r="17" spans="2:14" ht="15.75" x14ac:dyDescent="0.25">
      <c r="B17" s="23" t="s">
        <v>82</v>
      </c>
      <c r="C17" s="10" t="s">
        <v>2</v>
      </c>
      <c r="D17" s="11" t="s">
        <v>22</v>
      </c>
      <c r="E17" s="12" t="s">
        <v>91</v>
      </c>
      <c r="F17" s="11" t="s">
        <v>5</v>
      </c>
      <c r="G17" s="11" t="s">
        <v>92</v>
      </c>
      <c r="H17" s="11" t="s">
        <v>44</v>
      </c>
      <c r="I17" s="11" t="s">
        <v>93</v>
      </c>
      <c r="J17" s="11" t="s">
        <v>94</v>
      </c>
      <c r="K17" s="11" t="s">
        <v>95</v>
      </c>
      <c r="L17" s="11" t="s">
        <v>96</v>
      </c>
      <c r="M17" s="11" t="s">
        <v>97</v>
      </c>
      <c r="N17" s="12" t="s">
        <v>98</v>
      </c>
    </row>
    <row r="18" spans="2:14" ht="15.75" x14ac:dyDescent="0.25">
      <c r="B18" s="24" t="s">
        <v>83</v>
      </c>
      <c r="C18" s="13" t="s">
        <v>99</v>
      </c>
      <c r="D18" s="14">
        <v>75</v>
      </c>
      <c r="E18" s="15" t="s">
        <v>100</v>
      </c>
      <c r="F18" s="14" t="s">
        <v>5</v>
      </c>
      <c r="G18" s="14" t="s">
        <v>101</v>
      </c>
      <c r="H18" s="14" t="s">
        <v>102</v>
      </c>
      <c r="I18" s="14" t="s">
        <v>103</v>
      </c>
      <c r="J18" s="14" t="s">
        <v>104</v>
      </c>
      <c r="K18" s="14" t="s">
        <v>105</v>
      </c>
      <c r="L18" s="14" t="s">
        <v>106</v>
      </c>
      <c r="M18" s="14" t="s">
        <v>107</v>
      </c>
      <c r="N18" s="15" t="s">
        <v>108</v>
      </c>
    </row>
    <row r="19" spans="2:14" ht="15.75" x14ac:dyDescent="0.25">
      <c r="B19" s="24" t="s">
        <v>84</v>
      </c>
      <c r="C19" s="13">
        <v>10</v>
      </c>
      <c r="D19" s="14">
        <v>11</v>
      </c>
      <c r="E19" s="15" t="s">
        <v>25</v>
      </c>
      <c r="F19" s="14" t="s">
        <v>5</v>
      </c>
      <c r="G19" s="14" t="s">
        <v>109</v>
      </c>
      <c r="H19" s="14" t="s">
        <v>110</v>
      </c>
      <c r="I19" s="14" t="s">
        <v>111</v>
      </c>
      <c r="J19" s="14" t="s">
        <v>112</v>
      </c>
      <c r="K19" s="14" t="s">
        <v>113</v>
      </c>
      <c r="L19" s="14" t="s">
        <v>114</v>
      </c>
      <c r="M19" s="14" t="s">
        <v>115</v>
      </c>
      <c r="N19" s="15" t="s">
        <v>116</v>
      </c>
    </row>
    <row r="20" spans="2:14" ht="15.75" x14ac:dyDescent="0.25">
      <c r="B20" s="24" t="s">
        <v>85</v>
      </c>
      <c r="C20" s="13" t="s">
        <v>117</v>
      </c>
      <c r="D20" s="14" t="s">
        <v>20</v>
      </c>
      <c r="E20" s="15">
        <v>15</v>
      </c>
      <c r="F20" s="14" t="s">
        <v>5</v>
      </c>
      <c r="G20" s="14" t="s">
        <v>118</v>
      </c>
      <c r="H20" s="14" t="s">
        <v>119</v>
      </c>
      <c r="I20" s="14" t="s">
        <v>47</v>
      </c>
      <c r="J20" s="14" t="s">
        <v>48</v>
      </c>
      <c r="K20" s="14" t="s">
        <v>49</v>
      </c>
      <c r="L20" s="14" t="s">
        <v>50</v>
      </c>
      <c r="M20" s="14" t="s">
        <v>51</v>
      </c>
      <c r="N20" s="15" t="s">
        <v>58</v>
      </c>
    </row>
    <row r="21" spans="2:14" ht="15.75" x14ac:dyDescent="0.25">
      <c r="B21" s="24" t="s">
        <v>86</v>
      </c>
      <c r="C21" s="13">
        <v>33</v>
      </c>
      <c r="D21" s="14">
        <v>61</v>
      </c>
      <c r="E21" s="15" t="s">
        <v>117</v>
      </c>
      <c r="F21" s="14" t="s">
        <v>5</v>
      </c>
      <c r="G21" s="14" t="s">
        <v>26</v>
      </c>
      <c r="H21" s="14" t="s">
        <v>35</v>
      </c>
      <c r="I21" s="14" t="s">
        <v>28</v>
      </c>
      <c r="J21" s="14" t="s">
        <v>120</v>
      </c>
      <c r="K21" s="14" t="s">
        <v>121</v>
      </c>
      <c r="L21" s="14" t="s">
        <v>122</v>
      </c>
      <c r="M21" s="14" t="s">
        <v>123</v>
      </c>
      <c r="N21" s="15" t="s">
        <v>124</v>
      </c>
    </row>
    <row r="22" spans="2:14" ht="15.75" x14ac:dyDescent="0.25">
      <c r="B22" s="24" t="s">
        <v>87</v>
      </c>
      <c r="C22" s="13">
        <v>50</v>
      </c>
      <c r="D22" s="14" t="s">
        <v>125</v>
      </c>
      <c r="E22" s="15">
        <v>29</v>
      </c>
      <c r="F22" s="14" t="s">
        <v>5</v>
      </c>
      <c r="G22" s="14" t="s">
        <v>45</v>
      </c>
      <c r="H22" s="14" t="s">
        <v>46</v>
      </c>
      <c r="I22" s="14" t="s">
        <v>47</v>
      </c>
      <c r="J22" s="14" t="s">
        <v>48</v>
      </c>
      <c r="K22" s="14" t="s">
        <v>49</v>
      </c>
      <c r="L22" s="14" t="s">
        <v>126</v>
      </c>
      <c r="M22" s="14" t="s">
        <v>127</v>
      </c>
      <c r="N22" s="15" t="s">
        <v>37</v>
      </c>
    </row>
    <row r="23" spans="2:14" ht="15.75" x14ac:dyDescent="0.25">
      <c r="B23" s="24" t="s">
        <v>88</v>
      </c>
      <c r="C23" s="13">
        <v>79</v>
      </c>
      <c r="D23" s="14">
        <v>29</v>
      </c>
      <c r="E23" s="15">
        <v>33</v>
      </c>
      <c r="F23" s="14" t="s">
        <v>5</v>
      </c>
      <c r="G23" s="14" t="s">
        <v>45</v>
      </c>
      <c r="H23" s="14" t="s">
        <v>53</v>
      </c>
      <c r="I23" s="14" t="s">
        <v>128</v>
      </c>
      <c r="J23" s="14" t="s">
        <v>54</v>
      </c>
      <c r="K23" s="14" t="s">
        <v>55</v>
      </c>
      <c r="L23" s="14" t="s">
        <v>129</v>
      </c>
      <c r="M23" s="14" t="s">
        <v>130</v>
      </c>
      <c r="N23" s="15" t="s">
        <v>58</v>
      </c>
    </row>
    <row r="24" spans="2:14" ht="16.5" thickBot="1" x14ac:dyDescent="0.3">
      <c r="B24" s="25" t="s">
        <v>89</v>
      </c>
      <c r="C24" s="16" t="s">
        <v>131</v>
      </c>
      <c r="D24" s="17" t="s">
        <v>130</v>
      </c>
      <c r="E24" s="18">
        <v>41</v>
      </c>
      <c r="F24" s="17" t="s">
        <v>5</v>
      </c>
      <c r="G24" s="17" t="s">
        <v>45</v>
      </c>
      <c r="H24" s="17" t="s">
        <v>46</v>
      </c>
      <c r="I24" s="17" t="s">
        <v>47</v>
      </c>
      <c r="J24" s="17" t="s">
        <v>48</v>
      </c>
      <c r="K24" s="17" t="s">
        <v>49</v>
      </c>
      <c r="L24" s="17" t="s">
        <v>50</v>
      </c>
      <c r="M24" s="17" t="s">
        <v>51</v>
      </c>
      <c r="N24" s="18" t="s">
        <v>3</v>
      </c>
    </row>
    <row r="25" spans="2:14" ht="15.75" x14ac:dyDescent="0.25">
      <c r="C25" s="26"/>
      <c r="G25" s="27" t="s">
        <v>173</v>
      </c>
      <c r="H25" s="28">
        <v>1.8080000000000001</v>
      </c>
    </row>
    <row r="27" spans="2:14" ht="16.5" thickBot="1" x14ac:dyDescent="0.3">
      <c r="B27" s="19"/>
      <c r="C27" s="135" t="s">
        <v>132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</row>
    <row r="28" spans="2:14" ht="16.5" thickBot="1" x14ac:dyDescent="0.3">
      <c r="B28" s="21"/>
      <c r="C28" s="136" t="s">
        <v>0</v>
      </c>
      <c r="D28" s="137"/>
      <c r="E28" s="138"/>
      <c r="F28" s="136" t="s">
        <v>1</v>
      </c>
      <c r="G28" s="137"/>
      <c r="H28" s="137"/>
      <c r="I28" s="137"/>
      <c r="J28" s="137"/>
      <c r="K28" s="137"/>
      <c r="L28" s="137"/>
      <c r="M28" s="137"/>
      <c r="N28" s="22"/>
    </row>
    <row r="29" spans="2:14" ht="15.75" x14ac:dyDescent="0.25">
      <c r="B29" s="23" t="s">
        <v>82</v>
      </c>
      <c r="C29" s="10" t="s">
        <v>134</v>
      </c>
      <c r="D29" s="11">
        <v>59</v>
      </c>
      <c r="E29" s="12" t="s">
        <v>99</v>
      </c>
      <c r="F29" s="11" t="s">
        <v>91</v>
      </c>
      <c r="G29" s="11" t="s">
        <v>101</v>
      </c>
      <c r="H29" s="11" t="s">
        <v>135</v>
      </c>
      <c r="I29" s="11" t="s">
        <v>93</v>
      </c>
      <c r="J29" s="11" t="s">
        <v>136</v>
      </c>
      <c r="K29" s="11" t="s">
        <v>137</v>
      </c>
      <c r="L29" s="11" t="s">
        <v>138</v>
      </c>
      <c r="M29" s="11" t="s">
        <v>139</v>
      </c>
      <c r="N29" s="12" t="s">
        <v>140</v>
      </c>
    </row>
    <row r="30" spans="2:14" ht="15.75" x14ac:dyDescent="0.25">
      <c r="B30" s="24" t="s">
        <v>83</v>
      </c>
      <c r="C30" s="13" t="s">
        <v>100</v>
      </c>
      <c r="D30" s="14">
        <v>60</v>
      </c>
      <c r="E30" s="15" t="s">
        <v>141</v>
      </c>
      <c r="F30" s="14" t="s">
        <v>142</v>
      </c>
      <c r="G30" s="14" t="s">
        <v>143</v>
      </c>
      <c r="H30" s="14" t="s">
        <v>110</v>
      </c>
      <c r="I30" s="14" t="s">
        <v>144</v>
      </c>
      <c r="J30" s="14" t="s">
        <v>145</v>
      </c>
      <c r="K30" s="14" t="s">
        <v>113</v>
      </c>
      <c r="L30" s="14" t="s">
        <v>122</v>
      </c>
      <c r="M30" s="14" t="s">
        <v>36</v>
      </c>
      <c r="N30" s="15" t="s">
        <v>146</v>
      </c>
    </row>
    <row r="31" spans="2:14" ht="15.75" x14ac:dyDescent="0.25">
      <c r="B31" s="24" t="s">
        <v>84</v>
      </c>
      <c r="C31" s="13">
        <v>13</v>
      </c>
      <c r="D31" s="14">
        <v>88</v>
      </c>
      <c r="E31" s="15">
        <v>13</v>
      </c>
      <c r="F31" s="14" t="s">
        <v>100</v>
      </c>
      <c r="G31" s="14" t="s">
        <v>147</v>
      </c>
      <c r="H31" s="14" t="s">
        <v>148</v>
      </c>
      <c r="I31" s="14" t="s">
        <v>9</v>
      </c>
      <c r="J31" s="14" t="s">
        <v>149</v>
      </c>
      <c r="K31" s="14" t="s">
        <v>121</v>
      </c>
      <c r="L31" s="14" t="s">
        <v>150</v>
      </c>
      <c r="M31" s="14" t="s">
        <v>130</v>
      </c>
      <c r="N31" s="15" t="s">
        <v>146</v>
      </c>
    </row>
    <row r="32" spans="2:14" ht="15.75" x14ac:dyDescent="0.25">
      <c r="B32" s="24" t="s">
        <v>85</v>
      </c>
      <c r="C32" s="13">
        <v>25</v>
      </c>
      <c r="D32" s="14">
        <v>80</v>
      </c>
      <c r="E32" s="15" t="s">
        <v>118</v>
      </c>
      <c r="F32" s="14" t="s">
        <v>4</v>
      </c>
      <c r="G32" s="14" t="s">
        <v>151</v>
      </c>
      <c r="H32" s="14" t="s">
        <v>8</v>
      </c>
      <c r="I32" s="14" t="s">
        <v>152</v>
      </c>
      <c r="J32" s="14" t="s">
        <v>153</v>
      </c>
      <c r="K32" s="14" t="s">
        <v>154</v>
      </c>
      <c r="L32" s="14" t="s">
        <v>129</v>
      </c>
      <c r="M32" s="14" t="s">
        <v>155</v>
      </c>
      <c r="N32" s="15" t="s">
        <v>32</v>
      </c>
    </row>
    <row r="33" spans="2:14" ht="15.75" x14ac:dyDescent="0.25">
      <c r="B33" s="24" t="s">
        <v>86</v>
      </c>
      <c r="C33" s="13" t="s">
        <v>156</v>
      </c>
      <c r="D33" s="14" t="s">
        <v>157</v>
      </c>
      <c r="E33" s="15">
        <v>28</v>
      </c>
      <c r="F33" s="14" t="s">
        <v>158</v>
      </c>
      <c r="G33" s="14" t="s">
        <v>159</v>
      </c>
      <c r="H33" s="14" t="s">
        <v>35</v>
      </c>
      <c r="I33" s="14" t="s">
        <v>160</v>
      </c>
      <c r="J33" s="14" t="s">
        <v>112</v>
      </c>
      <c r="K33" s="14" t="s">
        <v>161</v>
      </c>
      <c r="L33" s="14" t="s">
        <v>114</v>
      </c>
      <c r="M33" s="14" t="s">
        <v>123</v>
      </c>
      <c r="N33" s="15" t="s">
        <v>162</v>
      </c>
    </row>
    <row r="34" spans="2:14" ht="15.75" x14ac:dyDescent="0.25">
      <c r="B34" s="24" t="s">
        <v>87</v>
      </c>
      <c r="C34" s="13">
        <v>63</v>
      </c>
      <c r="D34" s="14" t="s">
        <v>113</v>
      </c>
      <c r="E34" s="15">
        <v>35</v>
      </c>
      <c r="F34" s="14" t="s">
        <v>91</v>
      </c>
      <c r="G34" s="14" t="s">
        <v>163</v>
      </c>
      <c r="H34" s="14" t="s">
        <v>156</v>
      </c>
      <c r="I34" s="14" t="s">
        <v>164</v>
      </c>
      <c r="J34" s="14" t="s">
        <v>165</v>
      </c>
      <c r="K34" s="14" t="s">
        <v>166</v>
      </c>
      <c r="L34" s="14" t="s">
        <v>129</v>
      </c>
      <c r="M34" s="14" t="s">
        <v>51</v>
      </c>
      <c r="N34" s="15" t="s">
        <v>32</v>
      </c>
    </row>
    <row r="35" spans="2:14" ht="15.75" x14ac:dyDescent="0.25">
      <c r="B35" s="24" t="s">
        <v>88</v>
      </c>
      <c r="C35" s="13">
        <v>95</v>
      </c>
      <c r="D35" s="14" t="s">
        <v>145</v>
      </c>
      <c r="E35" s="15">
        <v>43</v>
      </c>
      <c r="F35" s="14" t="s">
        <v>14</v>
      </c>
      <c r="G35" s="14" t="s">
        <v>167</v>
      </c>
      <c r="H35" s="14" t="s">
        <v>168</v>
      </c>
      <c r="I35" s="14" t="s">
        <v>164</v>
      </c>
      <c r="J35" s="14" t="s">
        <v>137</v>
      </c>
      <c r="K35" s="14" t="s">
        <v>55</v>
      </c>
      <c r="L35" s="14" t="s">
        <v>129</v>
      </c>
      <c r="M35" s="14" t="s">
        <v>169</v>
      </c>
      <c r="N35" s="15" t="s">
        <v>146</v>
      </c>
    </row>
    <row r="36" spans="2:14" ht="16.5" thickBot="1" x14ac:dyDescent="0.3">
      <c r="B36" s="25" t="s">
        <v>89</v>
      </c>
      <c r="C36" s="16" t="s">
        <v>13</v>
      </c>
      <c r="D36" s="17">
        <v>89</v>
      </c>
      <c r="E36" s="18">
        <v>51</v>
      </c>
      <c r="F36" s="17" t="s">
        <v>91</v>
      </c>
      <c r="G36" s="17" t="s">
        <v>167</v>
      </c>
      <c r="H36" s="17" t="s">
        <v>170</v>
      </c>
      <c r="I36" s="17" t="s">
        <v>136</v>
      </c>
      <c r="J36" s="17" t="s">
        <v>52</v>
      </c>
      <c r="K36" s="17" t="s">
        <v>171</v>
      </c>
      <c r="L36" s="17" t="s">
        <v>172</v>
      </c>
      <c r="M36" s="17" t="s">
        <v>155</v>
      </c>
      <c r="N36" s="18" t="s">
        <v>58</v>
      </c>
    </row>
    <row r="37" spans="2:14" ht="15.75" x14ac:dyDescent="0.25">
      <c r="G37" s="27" t="s">
        <v>173</v>
      </c>
      <c r="H37" s="28">
        <v>1.8080000000000001</v>
      </c>
    </row>
  </sheetData>
  <mergeCells count="9">
    <mergeCell ref="C27:N27"/>
    <mergeCell ref="C28:E28"/>
    <mergeCell ref="F28:M28"/>
    <mergeCell ref="C4:E4"/>
    <mergeCell ref="C3:N3"/>
    <mergeCell ref="F4:M4"/>
    <mergeCell ref="C15:N15"/>
    <mergeCell ref="C16:E16"/>
    <mergeCell ref="F16:M16"/>
  </mergeCells>
  <pageMargins left="0.31496062992125984" right="0.31496062992125984" top="0.74803149606299213" bottom="0.74803149606299213" header="0.31496062992125984" footer="0.31496062992125984"/>
  <pageSetup paperSize="9" scale="8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MAF Calc</vt:lpstr>
      <vt:lpstr>Standard MAF Tables</vt:lpstr>
      <vt:lpstr>MAF Chart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2012-07-07T01:33:54Z</cp:lastPrinted>
  <dcterms:created xsi:type="dcterms:W3CDTF">2010-07-21T09:25:24Z</dcterms:created>
  <dcterms:modified xsi:type="dcterms:W3CDTF">2012-07-07T01:34:18Z</dcterms:modified>
</cp:coreProperties>
</file>